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210" windowWidth="19200" windowHeight="6705" tabRatio="602"/>
  </bookViews>
  <sheets>
    <sheet name="AL17050" sheetId="1" r:id="rId1"/>
    <sheet name="Data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19" i="1" l="1"/>
  <c r="C39" i="1" l="1"/>
  <c r="C50" i="1" l="1"/>
  <c r="C52" i="1" l="1"/>
  <c r="C51" i="1"/>
  <c r="C48" i="1"/>
  <c r="F25" i="1"/>
  <c r="C25" i="1"/>
  <c r="F24" i="1"/>
  <c r="C24" i="1"/>
  <c r="F23" i="1"/>
  <c r="C23" i="1"/>
  <c r="B4" i="2"/>
  <c r="D25" i="1"/>
  <c r="D24" i="1"/>
  <c r="D23" i="1"/>
  <c r="C42" i="1"/>
  <c r="C40" i="1"/>
  <c r="C26" i="1" l="1"/>
  <c r="D26" i="1"/>
  <c r="D30" i="1" s="1"/>
  <c r="F26" i="1"/>
  <c r="C30" i="1" s="1"/>
  <c r="J9" i="2"/>
  <c r="J8" i="2"/>
  <c r="J7" i="2"/>
  <c r="J6" i="2"/>
  <c r="J5" i="2"/>
  <c r="J4" i="2"/>
  <c r="B8" i="2"/>
  <c r="B7" i="2"/>
  <c r="B6" i="2"/>
  <c r="B5" i="2"/>
  <c r="B9" i="2"/>
  <c r="C28" i="1" l="1"/>
  <c r="C45" i="1"/>
  <c r="D28" i="1"/>
  <c r="D45" i="1"/>
  <c r="F27" i="1"/>
  <c r="C27" i="1"/>
  <c r="C33" i="1" s="1"/>
  <c r="C43" i="1"/>
  <c r="C47" i="1" s="1"/>
  <c r="D27" i="1"/>
  <c r="D52" i="1"/>
  <c r="D51" i="1"/>
  <c r="D50" i="1"/>
  <c r="C29" i="1" l="1"/>
  <c r="C21" i="1" s="1"/>
  <c r="C46" i="1"/>
  <c r="D29" i="1"/>
  <c r="C49" i="1"/>
  <c r="D43" i="1"/>
  <c r="D48" i="1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B23" i="2"/>
  <c r="B22" i="2"/>
  <c r="B21" i="2"/>
  <c r="B20" i="2"/>
  <c r="B19" i="2"/>
  <c r="B18" i="2"/>
  <c r="B17" i="2"/>
  <c r="B16" i="2"/>
  <c r="B15" i="2"/>
  <c r="B14" i="2"/>
  <c r="B12" i="2"/>
  <c r="B11" i="2"/>
  <c r="B10" i="2"/>
  <c r="B13" i="2"/>
  <c r="C53" i="1" l="1"/>
  <c r="C54" i="1" s="1"/>
  <c r="D46" i="1"/>
  <c r="D47" i="1"/>
  <c r="M22" i="2"/>
  <c r="N22" i="2" s="1"/>
  <c r="M5" i="2"/>
  <c r="N5" i="2" s="1"/>
  <c r="M9" i="2"/>
  <c r="N9" i="2" s="1"/>
  <c r="M13" i="2"/>
  <c r="N13" i="2" s="1"/>
  <c r="M17" i="2"/>
  <c r="N17" i="2" s="1"/>
  <c r="M21" i="2"/>
  <c r="N21" i="2" s="1"/>
  <c r="M6" i="2"/>
  <c r="N6" i="2" s="1"/>
  <c r="M10" i="2"/>
  <c r="N10" i="2" s="1"/>
  <c r="M14" i="2"/>
  <c r="N14" i="2" s="1"/>
  <c r="M18" i="2"/>
  <c r="N18" i="2" s="1"/>
  <c r="M15" i="2"/>
  <c r="N15" i="2" s="1"/>
  <c r="M7" i="2"/>
  <c r="N7" i="2" s="1"/>
  <c r="M4" i="2"/>
  <c r="M23" i="2"/>
  <c r="N23" i="2" s="1"/>
  <c r="M20" i="2"/>
  <c r="N20" i="2" s="1"/>
  <c r="M19" i="2"/>
  <c r="N19" i="2" s="1"/>
  <c r="M16" i="2"/>
  <c r="N16" i="2" s="1"/>
  <c r="M12" i="2"/>
  <c r="N12" i="2" s="1"/>
  <c r="M11" i="2"/>
  <c r="N11" i="2" s="1"/>
  <c r="M8" i="2"/>
  <c r="N8" i="2" s="1"/>
  <c r="N4" i="2" l="1"/>
  <c r="O4" i="2"/>
  <c r="D49" i="1"/>
  <c r="D53" i="1" s="1"/>
  <c r="O22" i="2"/>
  <c r="P22" i="2" s="1"/>
  <c r="Q22" i="2" s="1"/>
  <c r="O6" i="2"/>
  <c r="P6" i="2" s="1"/>
  <c r="Q6" i="2" s="1"/>
  <c r="O18" i="2"/>
  <c r="P18" i="2" s="1"/>
  <c r="Q18" i="2" s="1"/>
  <c r="O19" i="2"/>
  <c r="P19" i="2" s="1"/>
  <c r="Q19" i="2" s="1"/>
  <c r="O8" i="2"/>
  <c r="P8" i="2" s="1"/>
  <c r="Q8" i="2" s="1"/>
  <c r="O5" i="2"/>
  <c r="P5" i="2" s="1"/>
  <c r="Q5" i="2" s="1"/>
  <c r="O17" i="2"/>
  <c r="P17" i="2" s="1"/>
  <c r="Q17" i="2" s="1"/>
  <c r="O9" i="2"/>
  <c r="P9" i="2" s="1"/>
  <c r="Q9" i="2" s="1"/>
  <c r="O21" i="2"/>
  <c r="P21" i="2" s="1"/>
  <c r="Q21" i="2" s="1"/>
  <c r="O23" i="2"/>
  <c r="P23" i="2" s="1"/>
  <c r="Q23" i="2" s="1"/>
  <c r="O13" i="2"/>
  <c r="P13" i="2" s="1"/>
  <c r="Q13" i="2" s="1"/>
  <c r="O10" i="2"/>
  <c r="O14" i="2"/>
  <c r="P14" i="2" s="1"/>
  <c r="Q14" i="2" s="1"/>
  <c r="O20" i="2"/>
  <c r="P20" i="2" s="1"/>
  <c r="Q20" i="2" s="1"/>
  <c r="O16" i="2"/>
  <c r="P16" i="2" s="1"/>
  <c r="Q16" i="2" s="1"/>
  <c r="O15" i="2"/>
  <c r="P15" i="2" s="1"/>
  <c r="Q15" i="2" s="1"/>
  <c r="O12" i="2"/>
  <c r="O7" i="2"/>
  <c r="O11" i="2"/>
  <c r="P11" i="2" s="1"/>
  <c r="Q11" i="2" s="1"/>
  <c r="P10" i="2" l="1"/>
  <c r="Q10" i="2" s="1"/>
  <c r="P12" i="2"/>
  <c r="Q12" i="2" s="1"/>
  <c r="P7" i="2"/>
  <c r="Q7" i="2" s="1"/>
  <c r="P4" i="2"/>
  <c r="Q4" i="2" s="1"/>
  <c r="C23" i="2" l="1"/>
  <c r="C22" i="2"/>
  <c r="C21" i="2"/>
  <c r="C20" i="2"/>
  <c r="C19" i="2"/>
  <c r="C18" i="2"/>
  <c r="C17" i="2"/>
  <c r="C16" i="2"/>
  <c r="C15" i="2"/>
  <c r="C14" i="2"/>
  <c r="C13" i="2"/>
  <c r="D23" i="2"/>
  <c r="D22" i="2"/>
  <c r="D21" i="2"/>
  <c r="D20" i="2"/>
  <c r="D19" i="2"/>
  <c r="D18" i="2"/>
  <c r="D17" i="2"/>
  <c r="D16" i="2"/>
  <c r="D15" i="2"/>
  <c r="D14" i="2"/>
  <c r="D13" i="2"/>
  <c r="E14" i="2" l="1"/>
  <c r="F14" i="2" s="1"/>
  <c r="E16" i="2"/>
  <c r="F16" i="2" s="1"/>
  <c r="E18" i="2"/>
  <c r="F18" i="2" s="1"/>
  <c r="E13" i="2"/>
  <c r="F13" i="2" s="1"/>
  <c r="E17" i="2"/>
  <c r="F17" i="2" s="1"/>
  <c r="E15" i="2"/>
  <c r="F15" i="2" s="1"/>
  <c r="E19" i="2"/>
  <c r="F19" i="2" s="1"/>
  <c r="E22" i="2"/>
  <c r="F22" i="2" s="1"/>
  <c r="E21" i="2"/>
  <c r="F21" i="2" s="1"/>
  <c r="E23" i="2"/>
  <c r="F23" i="2" s="1"/>
  <c r="E20" i="2"/>
  <c r="F20" i="2" s="1"/>
  <c r="D54" i="1" l="1"/>
  <c r="G15" i="2"/>
  <c r="H15" i="2" s="1"/>
  <c r="I15" i="2" s="1"/>
  <c r="G22" i="2"/>
  <c r="H22" i="2" s="1"/>
  <c r="I22" i="2" s="1"/>
  <c r="G23" i="2"/>
  <c r="G14" i="2"/>
  <c r="G18" i="2"/>
  <c r="G19" i="2"/>
  <c r="G20" i="2"/>
  <c r="G21" i="2"/>
  <c r="G16" i="2"/>
  <c r="G17" i="2"/>
  <c r="H21" i="2" l="1"/>
  <c r="I21" i="2" s="1"/>
  <c r="H20" i="2"/>
  <c r="I20" i="2" s="1"/>
  <c r="H18" i="2"/>
  <c r="I18" i="2" s="1"/>
  <c r="H17" i="2"/>
  <c r="I17" i="2" s="1"/>
  <c r="H16" i="2"/>
  <c r="I16" i="2" s="1"/>
  <c r="H19" i="2"/>
  <c r="I19" i="2" s="1"/>
  <c r="H14" i="2"/>
  <c r="I14" i="2" s="1"/>
  <c r="H23" i="2"/>
  <c r="I23" i="2" s="1"/>
  <c r="D4" i="2"/>
  <c r="C4" i="2"/>
  <c r="E4" i="2" l="1"/>
  <c r="F4" i="2" s="1"/>
  <c r="D12" i="2"/>
  <c r="D11" i="2"/>
  <c r="D10" i="2"/>
  <c r="D9" i="2"/>
  <c r="D8" i="2"/>
  <c r="D7" i="2"/>
  <c r="D6" i="2"/>
  <c r="D5" i="2"/>
  <c r="C12" i="2"/>
  <c r="E12" i="2" s="1"/>
  <c r="F12" i="2" s="1"/>
  <c r="C11" i="2"/>
  <c r="C10" i="2"/>
  <c r="E10" i="2" s="1"/>
  <c r="F10" i="2" s="1"/>
  <c r="C9" i="2"/>
  <c r="E9" i="2" s="1"/>
  <c r="F9" i="2" s="1"/>
  <c r="C8" i="2"/>
  <c r="E8" i="2" s="1"/>
  <c r="F8" i="2" s="1"/>
  <c r="C7" i="2"/>
  <c r="E7" i="2" s="1"/>
  <c r="F7" i="2" s="1"/>
  <c r="C6" i="2"/>
  <c r="E6" i="2" s="1"/>
  <c r="F6" i="2" s="1"/>
  <c r="C5" i="2"/>
  <c r="E5" i="2" s="1"/>
  <c r="F5" i="2" s="1"/>
  <c r="E11" i="2" l="1"/>
  <c r="F11" i="2" s="1"/>
  <c r="G4" i="2"/>
  <c r="G13" i="2"/>
  <c r="H4" i="2" l="1"/>
  <c r="I4" i="2" s="1"/>
  <c r="G11" i="2"/>
  <c r="G7" i="2"/>
  <c r="G9" i="2"/>
  <c r="G12" i="2"/>
  <c r="G10" i="2"/>
  <c r="G5" i="2"/>
  <c r="G8" i="2"/>
  <c r="G6" i="2"/>
  <c r="H5" i="2" l="1"/>
  <c r="I5" i="2" s="1"/>
  <c r="H12" i="2"/>
  <c r="I12" i="2" s="1"/>
  <c r="H7" i="2"/>
  <c r="I7" i="2" s="1"/>
  <c r="H11" i="2"/>
  <c r="I11" i="2" s="1"/>
  <c r="H8" i="2"/>
  <c r="I8" i="2" s="1"/>
  <c r="H10" i="2"/>
  <c r="I10" i="2" s="1"/>
  <c r="H9" i="2"/>
  <c r="I9" i="2" s="1"/>
  <c r="H13" i="2"/>
  <c r="I13" i="2" s="1"/>
  <c r="H6" i="2"/>
  <c r="I6" i="2" s="1"/>
</calcChain>
</file>

<file path=xl/sharedStrings.xml><?xml version="1.0" encoding="utf-8"?>
<sst xmlns="http://schemas.openxmlformats.org/spreadsheetml/2006/main" count="152" uniqueCount="127">
  <si>
    <t>V</t>
    <phoneticPr fontId="1" type="noConversion"/>
  </si>
  <si>
    <t>V</t>
    <phoneticPr fontId="1" type="noConversion"/>
  </si>
  <si>
    <t>mA</t>
    <phoneticPr fontId="1" type="noConversion"/>
  </si>
  <si>
    <t>kHz</t>
    <phoneticPr fontId="1" type="noConversion"/>
  </si>
  <si>
    <t>mH</t>
    <phoneticPr fontId="1" type="noConversion"/>
  </si>
  <si>
    <t>mA</t>
    <phoneticPr fontId="1" type="noConversion"/>
  </si>
  <si>
    <t>mH</t>
    <phoneticPr fontId="1" type="noConversion"/>
  </si>
  <si>
    <t>IC Peak Current Limit</t>
    <phoneticPr fontId="1" type="noConversion"/>
  </si>
  <si>
    <t>IC VFB Referene Voltage</t>
    <phoneticPr fontId="1" type="noConversion"/>
  </si>
  <si>
    <t>IC Minimum OFF time</t>
    <phoneticPr fontId="1" type="noConversion"/>
  </si>
  <si>
    <t>μs</t>
    <phoneticPr fontId="1" type="noConversion"/>
  </si>
  <si>
    <t>kHz</t>
    <phoneticPr fontId="1" type="noConversion"/>
  </si>
  <si>
    <t>Ω</t>
    <phoneticPr fontId="1" type="noConversion"/>
  </si>
  <si>
    <t>kΩ</t>
    <phoneticPr fontId="1" type="noConversion"/>
  </si>
  <si>
    <t>nF</t>
    <phoneticPr fontId="1" type="noConversion"/>
  </si>
  <si>
    <t>IC Parameter</t>
    <phoneticPr fontId="1" type="noConversion"/>
  </si>
  <si>
    <t>kΩ</t>
    <phoneticPr fontId="1" type="noConversion"/>
  </si>
  <si>
    <t>Coefficient_2nd Grade</t>
    <phoneticPr fontId="1" type="noConversion"/>
  </si>
  <si>
    <t>Coefficient_1st Grade</t>
    <phoneticPr fontId="1" type="noConversion"/>
  </si>
  <si>
    <t>Coefficient_Constant</t>
    <phoneticPr fontId="1" type="noConversion"/>
  </si>
  <si>
    <t>Coefficient_Constant</t>
    <phoneticPr fontId="1" type="noConversion"/>
  </si>
  <si>
    <t>120VAC</t>
    <phoneticPr fontId="1" type="noConversion"/>
  </si>
  <si>
    <t>Io(mA)</t>
    <phoneticPr fontId="1" type="noConversion"/>
  </si>
  <si>
    <t>230VAC</t>
    <phoneticPr fontId="1" type="noConversion"/>
  </si>
  <si>
    <t>fs(kHz)</t>
    <phoneticPr fontId="1" type="noConversion"/>
  </si>
  <si>
    <t>Ipk(mA)</t>
    <phoneticPr fontId="1" type="noConversion"/>
  </si>
  <si>
    <t>Ipk(mA)</t>
    <phoneticPr fontId="1" type="noConversion"/>
  </si>
  <si>
    <t>fs(kHz)</t>
    <phoneticPr fontId="1" type="noConversion"/>
  </si>
  <si>
    <t>Ton(μs)</t>
    <phoneticPr fontId="1" type="noConversion"/>
  </si>
  <si>
    <t>Toff(μs)</t>
    <phoneticPr fontId="1" type="noConversion"/>
  </si>
  <si>
    <t>Comment</t>
    <phoneticPr fontId="1" type="noConversion"/>
  </si>
  <si>
    <t>mA</t>
    <phoneticPr fontId="1" type="noConversion"/>
  </si>
  <si>
    <r>
      <t>I</t>
    </r>
    <r>
      <rPr>
        <sz val="8"/>
        <color theme="1"/>
        <rFont val="Arial Unicode MS"/>
        <family val="2"/>
        <charset val="134"/>
      </rPr>
      <t>O</t>
    </r>
    <phoneticPr fontId="1" type="noConversion"/>
  </si>
  <si>
    <r>
      <t>V</t>
    </r>
    <r>
      <rPr>
        <sz val="8"/>
        <color theme="1"/>
        <rFont val="Arial Unicode MS"/>
        <family val="2"/>
        <charset val="134"/>
      </rPr>
      <t>IN_AC_MAX</t>
    </r>
    <phoneticPr fontId="1" type="noConversion"/>
  </si>
  <si>
    <r>
      <t>V</t>
    </r>
    <r>
      <rPr>
        <sz val="8"/>
        <color theme="1"/>
        <rFont val="Arial Unicode MS"/>
        <family val="2"/>
        <charset val="134"/>
      </rPr>
      <t>IN_AC_MIN</t>
    </r>
    <phoneticPr fontId="1" type="noConversion"/>
  </si>
  <si>
    <r>
      <t>f</t>
    </r>
    <r>
      <rPr>
        <sz val="8"/>
        <color theme="1"/>
        <rFont val="Arial Unicode MS"/>
        <family val="2"/>
        <charset val="134"/>
      </rPr>
      <t>_desire</t>
    </r>
    <phoneticPr fontId="1" type="noConversion"/>
  </si>
  <si>
    <r>
      <t>I</t>
    </r>
    <r>
      <rPr>
        <sz val="8"/>
        <color theme="1"/>
        <rFont val="Arial Unicode MS"/>
        <family val="2"/>
        <charset val="134"/>
      </rPr>
      <t>PK_desire</t>
    </r>
    <phoneticPr fontId="1" type="noConversion"/>
  </si>
  <si>
    <r>
      <t>I</t>
    </r>
    <r>
      <rPr>
        <sz val="8"/>
        <color theme="1"/>
        <rFont val="Arial Unicode MS"/>
        <family val="2"/>
        <charset val="134"/>
      </rPr>
      <t>PK_MAX</t>
    </r>
    <phoneticPr fontId="1" type="noConversion"/>
  </si>
  <si>
    <r>
      <t>V</t>
    </r>
    <r>
      <rPr>
        <sz val="8"/>
        <color theme="1"/>
        <rFont val="Arial Unicode MS"/>
        <family val="2"/>
        <charset val="134"/>
      </rPr>
      <t>FB</t>
    </r>
    <phoneticPr fontId="1" type="noConversion"/>
  </si>
  <si>
    <r>
      <t>t</t>
    </r>
    <r>
      <rPr>
        <sz val="8"/>
        <color theme="1"/>
        <rFont val="Arial Unicode MS"/>
        <family val="2"/>
        <charset val="134"/>
      </rPr>
      <t>min_off</t>
    </r>
    <phoneticPr fontId="1" type="noConversion"/>
  </si>
  <si>
    <r>
      <t>L</t>
    </r>
    <r>
      <rPr>
        <sz val="8"/>
        <color theme="1"/>
        <rFont val="Arial Unicode MS"/>
        <family val="2"/>
        <charset val="134"/>
      </rPr>
      <t>actual</t>
    </r>
    <phoneticPr fontId="1" type="noConversion"/>
  </si>
  <si>
    <r>
      <t>L</t>
    </r>
    <r>
      <rPr>
        <sz val="8"/>
        <color theme="1"/>
        <rFont val="Arial Unicode MS"/>
        <family val="2"/>
        <charset val="134"/>
      </rPr>
      <t>suggested</t>
    </r>
    <phoneticPr fontId="1" type="noConversion"/>
  </si>
  <si>
    <t>Ton</t>
    <phoneticPr fontId="1" type="noConversion"/>
  </si>
  <si>
    <t>Toff</t>
    <phoneticPr fontId="1" type="noConversion"/>
  </si>
  <si>
    <r>
      <t>R</t>
    </r>
    <r>
      <rPr>
        <sz val="8"/>
        <color theme="1"/>
        <rFont val="Arial Unicode MS"/>
        <family val="2"/>
        <charset val="134"/>
      </rPr>
      <t>dummy_suggested</t>
    </r>
    <phoneticPr fontId="1" type="noConversion"/>
  </si>
  <si>
    <r>
      <t>R</t>
    </r>
    <r>
      <rPr>
        <sz val="8"/>
        <color theme="1"/>
        <rFont val="Arial Unicode MS"/>
        <family val="2"/>
        <charset val="134"/>
      </rPr>
      <t>_FB_HIGH</t>
    </r>
    <phoneticPr fontId="1" type="noConversion"/>
  </si>
  <si>
    <r>
      <t>R</t>
    </r>
    <r>
      <rPr>
        <sz val="8"/>
        <color theme="1"/>
        <rFont val="Arial Unicode MS"/>
        <family val="2"/>
        <charset val="134"/>
      </rPr>
      <t>_FB_LOW</t>
    </r>
    <phoneticPr fontId="1" type="noConversion"/>
  </si>
  <si>
    <t>Comment</t>
    <phoneticPr fontId="1" type="noConversion"/>
  </si>
  <si>
    <r>
      <t>V</t>
    </r>
    <r>
      <rPr>
        <sz val="8"/>
        <color theme="1"/>
        <rFont val="Arial Unicode MS"/>
        <family val="2"/>
        <charset val="134"/>
      </rPr>
      <t>D_STRESS</t>
    </r>
    <phoneticPr fontId="1" type="noConversion"/>
  </si>
  <si>
    <r>
      <t>I</t>
    </r>
    <r>
      <rPr>
        <sz val="8"/>
        <color theme="1"/>
        <rFont val="Arial Unicode MS"/>
        <family val="2"/>
        <charset val="134"/>
      </rPr>
      <t>D_RMS</t>
    </r>
    <phoneticPr fontId="1" type="noConversion"/>
  </si>
  <si>
    <t>mA</t>
    <phoneticPr fontId="1" type="noConversion"/>
  </si>
  <si>
    <t>Power Loss Estimation</t>
    <phoneticPr fontId="1" type="noConversion"/>
  </si>
  <si>
    <t>%</t>
    <phoneticPr fontId="1" type="noConversion"/>
  </si>
  <si>
    <r>
      <rPr>
        <sz val="11"/>
        <color theme="1"/>
        <rFont val="Arial"/>
        <family val="2"/>
      </rPr>
      <t>η</t>
    </r>
    <r>
      <rPr>
        <sz val="8"/>
        <color theme="1"/>
        <rFont val="Arial Unicode MS"/>
        <family val="2"/>
        <charset val="134"/>
      </rPr>
      <t>_estimate</t>
    </r>
    <phoneticPr fontId="1" type="noConversion"/>
  </si>
  <si>
    <r>
      <t>P</t>
    </r>
    <r>
      <rPr>
        <sz val="8"/>
        <color theme="1"/>
        <rFont val="Arial Unicode MS"/>
        <family val="2"/>
        <charset val="134"/>
      </rPr>
      <t>loss_MOS_ON</t>
    </r>
    <phoneticPr fontId="1" type="noConversion"/>
  </si>
  <si>
    <r>
      <t>P</t>
    </r>
    <r>
      <rPr>
        <sz val="8"/>
        <color theme="1"/>
        <rFont val="Arial Unicode MS"/>
        <family val="2"/>
        <charset val="134"/>
      </rPr>
      <t>loss_MOS_SW</t>
    </r>
    <phoneticPr fontId="1" type="noConversion"/>
  </si>
  <si>
    <r>
      <t>P</t>
    </r>
    <r>
      <rPr>
        <sz val="8"/>
        <color theme="1"/>
        <rFont val="Arial Unicode MS"/>
        <family val="2"/>
        <charset val="134"/>
      </rPr>
      <t>loss_D</t>
    </r>
    <phoneticPr fontId="1" type="noConversion"/>
  </si>
  <si>
    <r>
      <t>P</t>
    </r>
    <r>
      <rPr>
        <sz val="8"/>
        <color theme="1"/>
        <rFont val="Arial Unicode MS"/>
        <family val="2"/>
        <charset val="134"/>
      </rPr>
      <t>loss_IC</t>
    </r>
    <phoneticPr fontId="1" type="noConversion"/>
  </si>
  <si>
    <r>
      <t>P</t>
    </r>
    <r>
      <rPr>
        <sz val="8"/>
        <color theme="1"/>
        <rFont val="Arial Unicode MS"/>
        <family val="2"/>
        <charset val="134"/>
      </rPr>
      <t>loss_L</t>
    </r>
    <phoneticPr fontId="1" type="noConversion"/>
  </si>
  <si>
    <r>
      <t>P</t>
    </r>
    <r>
      <rPr>
        <sz val="8"/>
        <color theme="1"/>
        <rFont val="Arial Unicode MS"/>
        <family val="2"/>
        <charset val="134"/>
      </rPr>
      <t>loss_dummy</t>
    </r>
    <phoneticPr fontId="1" type="noConversion"/>
  </si>
  <si>
    <t>Input Stage Power Loss</t>
    <phoneticPr fontId="1" type="noConversion"/>
  </si>
  <si>
    <r>
      <t>P</t>
    </r>
    <r>
      <rPr>
        <sz val="8"/>
        <color theme="1"/>
        <rFont val="Arial Unicode MS"/>
        <family val="2"/>
        <charset val="134"/>
      </rPr>
      <t>loss_Input</t>
    </r>
    <phoneticPr fontId="1" type="noConversion"/>
  </si>
  <si>
    <t>Output Capacitor Power Loss</t>
    <phoneticPr fontId="1" type="noConversion"/>
  </si>
  <si>
    <r>
      <t>P</t>
    </r>
    <r>
      <rPr>
        <sz val="8"/>
        <color theme="1"/>
        <rFont val="Arial Unicode MS"/>
        <family val="2"/>
        <charset val="134"/>
      </rPr>
      <t>loss_Co</t>
    </r>
    <phoneticPr fontId="1" type="noConversion"/>
  </si>
  <si>
    <t>W</t>
    <phoneticPr fontId="1" type="noConversion"/>
  </si>
  <si>
    <t>%</t>
    <phoneticPr fontId="1" type="noConversion"/>
  </si>
  <si>
    <t>MOSFET Conduction Power Loss</t>
    <phoneticPr fontId="1" type="noConversion"/>
  </si>
  <si>
    <t>MOSFET Switching Power Loss</t>
    <phoneticPr fontId="1" type="noConversion"/>
  </si>
  <si>
    <t>Diode Power Loss</t>
    <phoneticPr fontId="1" type="noConversion"/>
  </si>
  <si>
    <t>IC Power Consumption</t>
    <phoneticPr fontId="1" type="noConversion"/>
  </si>
  <si>
    <t>Inductor Power Loss</t>
    <phoneticPr fontId="1" type="noConversion"/>
  </si>
  <si>
    <t>Dummy Load Power Loss</t>
    <phoneticPr fontId="1" type="noConversion"/>
  </si>
  <si>
    <t>Total Power Loss</t>
    <phoneticPr fontId="1" type="noConversion"/>
  </si>
  <si>
    <r>
      <t>P</t>
    </r>
    <r>
      <rPr>
        <sz val="8"/>
        <color theme="1"/>
        <rFont val="Arial Unicode MS"/>
        <family val="2"/>
        <charset val="134"/>
      </rPr>
      <t>loss_TOTAL</t>
    </r>
    <phoneticPr fontId="1" type="noConversion"/>
  </si>
  <si>
    <t>System Efficiency</t>
    <phoneticPr fontId="1" type="noConversion"/>
  </si>
  <si>
    <r>
      <t>Eff</t>
    </r>
    <r>
      <rPr>
        <sz val="8"/>
        <color theme="1"/>
        <rFont val="Arial Unicode MS"/>
        <family val="2"/>
        <charset val="134"/>
      </rPr>
      <t>_estimate</t>
    </r>
    <phoneticPr fontId="1" type="noConversion"/>
  </si>
  <si>
    <r>
      <t>C</t>
    </r>
    <r>
      <rPr>
        <sz val="8"/>
        <color theme="1"/>
        <rFont val="Arial Unicode MS"/>
        <family val="2"/>
        <charset val="134"/>
      </rPr>
      <t>_FB</t>
    </r>
    <phoneticPr fontId="1" type="noConversion"/>
  </si>
  <si>
    <r>
      <t>I</t>
    </r>
    <r>
      <rPr>
        <sz val="8"/>
        <color theme="1"/>
        <rFont val="Arial Unicode MS"/>
        <family val="2"/>
        <charset val="134"/>
      </rPr>
      <t>PK_calculate</t>
    </r>
    <phoneticPr fontId="1" type="noConversion"/>
  </si>
  <si>
    <r>
      <t>f</t>
    </r>
    <r>
      <rPr>
        <sz val="8"/>
        <color theme="1"/>
        <rFont val="Arial Unicode MS"/>
        <family val="2"/>
        <charset val="134"/>
      </rPr>
      <t>calculate</t>
    </r>
    <phoneticPr fontId="1" type="noConversion"/>
  </si>
  <si>
    <r>
      <t>R</t>
    </r>
    <r>
      <rPr>
        <sz val="8"/>
        <color theme="1"/>
        <rFont val="Arial Unicode MS"/>
        <family val="2"/>
        <charset val="134"/>
      </rPr>
      <t>dummy_actual</t>
    </r>
    <phoneticPr fontId="1" type="noConversion"/>
  </si>
  <si>
    <t>MOSFET ON Time@265VAC</t>
    <phoneticPr fontId="1" type="noConversion"/>
  </si>
  <si>
    <t>MOSFET OFF Time@265VAC</t>
    <phoneticPr fontId="1" type="noConversion"/>
  </si>
  <si>
    <r>
      <t>I</t>
    </r>
    <r>
      <rPr>
        <sz val="8"/>
        <color theme="1"/>
        <rFont val="Arial Unicode MS"/>
        <family val="2"/>
        <charset val="134"/>
      </rPr>
      <t>_MOSFET_RMS_MAX</t>
    </r>
    <phoneticPr fontId="1" type="noConversion"/>
  </si>
  <si>
    <r>
      <t>V</t>
    </r>
    <r>
      <rPr>
        <sz val="8"/>
        <color theme="1"/>
        <rFont val="Arial Unicode MS"/>
        <family val="2"/>
        <charset val="134"/>
      </rPr>
      <t>O_ripple</t>
    </r>
    <phoneticPr fontId="1" type="noConversion"/>
  </si>
  <si>
    <r>
      <t>V</t>
    </r>
    <r>
      <rPr>
        <sz val="8"/>
        <color theme="1"/>
        <rFont val="Arial Unicode MS"/>
        <family val="2"/>
        <charset val="134"/>
      </rPr>
      <t>O</t>
    </r>
    <phoneticPr fontId="1" type="noConversion"/>
  </si>
  <si>
    <t>mV</t>
    <phoneticPr fontId="1" type="noConversion"/>
  </si>
  <si>
    <t>μF</t>
    <phoneticPr fontId="1" type="noConversion"/>
  </si>
  <si>
    <r>
      <t>C</t>
    </r>
    <r>
      <rPr>
        <sz val="8"/>
        <color theme="1"/>
        <rFont val="Arial Unicode MS"/>
        <family val="2"/>
        <charset val="134"/>
      </rPr>
      <t>OUT_suggested</t>
    </r>
    <phoneticPr fontId="1" type="noConversion"/>
  </si>
  <si>
    <r>
      <t>C</t>
    </r>
    <r>
      <rPr>
        <sz val="8"/>
        <color theme="1"/>
        <rFont val="Arial Unicode MS"/>
        <family val="2"/>
        <charset val="134"/>
      </rPr>
      <t>OUT_actual</t>
    </r>
    <phoneticPr fontId="1" type="noConversion"/>
  </si>
  <si>
    <r>
      <t>ESR_C</t>
    </r>
    <r>
      <rPr>
        <sz val="8"/>
        <color theme="1"/>
        <rFont val="Arial Unicode MS"/>
        <family val="2"/>
        <charset val="134"/>
      </rPr>
      <t>OUT</t>
    </r>
    <phoneticPr fontId="1" type="noConversion"/>
  </si>
  <si>
    <t>AL17050 Buck Regulater Design Worksheet</t>
    <phoneticPr fontId="1" type="noConversion"/>
  </si>
  <si>
    <t>Parameter</t>
    <phoneticPr fontId="1" type="noConversion"/>
  </si>
  <si>
    <t>Symbol</t>
    <phoneticPr fontId="1" type="noConversion"/>
  </si>
  <si>
    <t>Value</t>
    <phoneticPr fontId="1" type="noConversion"/>
  </si>
  <si>
    <t>Unit</t>
    <phoneticPr fontId="1" type="noConversion"/>
  </si>
  <si>
    <t>Desired Switching Frequency at Rated Load</t>
    <phoneticPr fontId="1" type="noConversion"/>
  </si>
  <si>
    <t>Desired Peak Current Limit at Rated Load</t>
    <phoneticPr fontId="1" type="noConversion"/>
  </si>
  <si>
    <t>Estimated Efficiency</t>
    <phoneticPr fontId="1" type="noConversion"/>
  </si>
  <si>
    <t>Minimum AC Input Voltage</t>
    <phoneticPr fontId="1" type="noConversion"/>
  </si>
  <si>
    <t>Maximum AC Input Voltage</t>
    <phoneticPr fontId="1" type="noConversion"/>
  </si>
  <si>
    <t>Output Voltage</t>
    <phoneticPr fontId="1" type="noConversion"/>
  </si>
  <si>
    <t>Output Current</t>
    <phoneticPr fontId="1" type="noConversion"/>
  </si>
  <si>
    <t>Output Voltage Ripple</t>
    <phoneticPr fontId="1" type="noConversion"/>
  </si>
  <si>
    <t>Inductor</t>
    <phoneticPr fontId="1" type="noConversion"/>
  </si>
  <si>
    <t>Suggested Inductance</t>
    <phoneticPr fontId="1" type="noConversion"/>
  </si>
  <si>
    <t>Inductor Design Comment</t>
    <phoneticPr fontId="1" type="noConversion"/>
  </si>
  <si>
    <t>System SPEC</t>
    <phoneticPr fontId="1" type="noConversion"/>
  </si>
  <si>
    <t>Output Design</t>
    <phoneticPr fontId="1" type="noConversion"/>
  </si>
  <si>
    <t>Suggested Dummy Resistor</t>
    <phoneticPr fontId="1" type="noConversion"/>
  </si>
  <si>
    <t>Actual Resistor by the User</t>
    <phoneticPr fontId="1" type="noConversion"/>
  </si>
  <si>
    <t>Actual Inductance by the User</t>
    <phoneticPr fontId="1" type="noConversion"/>
  </si>
  <si>
    <t>Suggested Ouput Capacitance</t>
    <phoneticPr fontId="1" type="noConversion"/>
  </si>
  <si>
    <t>Actual Output Capacitance by the User</t>
    <phoneticPr fontId="1" type="noConversion"/>
  </si>
  <si>
    <t>ESR of the Output Capacitor</t>
    <phoneticPr fontId="1" type="noConversion"/>
  </si>
  <si>
    <t>Feedback Circuit</t>
    <phoneticPr fontId="1" type="noConversion"/>
  </si>
  <si>
    <t>Suggested Feedback Capacitance</t>
    <phoneticPr fontId="1" type="noConversion"/>
  </si>
  <si>
    <t>Freewheeling Diode</t>
    <phoneticPr fontId="1" type="noConversion"/>
  </si>
  <si>
    <t>Diode RMS Current</t>
    <phoneticPr fontId="1" type="noConversion"/>
  </si>
  <si>
    <t>Low Side Feedback Resistance</t>
    <phoneticPr fontId="1" type="noConversion"/>
  </si>
  <si>
    <t>High Side Feedback Resitance</t>
    <phoneticPr fontId="1" type="noConversion"/>
  </si>
  <si>
    <t>Maximum Diode Reverse Voltage</t>
    <phoneticPr fontId="1" type="noConversion"/>
  </si>
  <si>
    <t>Key Parameters</t>
    <phoneticPr fontId="1" type="noConversion"/>
  </si>
  <si>
    <t>Maximum MOSFET RMS Current</t>
    <phoneticPr fontId="1" type="noConversion"/>
  </si>
  <si>
    <t>Peak Current at Rated Load@265Vac</t>
    <phoneticPr fontId="1" type="noConversion"/>
  </si>
  <si>
    <t>Switching Frequency at Rated Load @265Vac</t>
    <phoneticPr fontId="1" type="noConversion"/>
  </si>
  <si>
    <t>Rev1.1     19, July, 2017</t>
    <phoneticPr fontId="1" type="noConversion"/>
  </si>
  <si>
    <r>
      <t xml:space="preserve">Note: This tool is for design Buck converter with DIODES AL17050. In this tool, the grid in </t>
    </r>
    <r>
      <rPr>
        <sz val="11"/>
        <color rgb="FFFF0000"/>
        <rFont val="Arial Unicode MS"/>
        <family val="2"/>
        <charset val="134"/>
      </rPr>
      <t>RED</t>
    </r>
    <r>
      <rPr>
        <sz val="11"/>
        <color theme="1"/>
        <rFont val="Arial Unicode MS"/>
        <family val="2"/>
        <charset val="134"/>
      </rPr>
      <t xml:space="preserve"> needs input from the user, and the tool will automatically calculate the parameters for components(</t>
    </r>
    <r>
      <rPr>
        <sz val="11"/>
        <color rgb="FF0000FF"/>
        <rFont val="Arial Unicode MS"/>
        <family val="2"/>
        <charset val="134"/>
      </rPr>
      <t>BLUE</t>
    </r>
    <r>
      <rPr>
        <sz val="11"/>
        <color theme="1"/>
        <rFont val="Arial Unicode MS"/>
        <family val="2"/>
        <charset val="134"/>
      </rPr>
      <t>) and working parameters(</t>
    </r>
    <r>
      <rPr>
        <sz val="11"/>
        <color rgb="FFFF00FF"/>
        <rFont val="Arial Unicode MS"/>
        <family val="2"/>
        <charset val="134"/>
      </rPr>
      <t>PINK</t>
    </r>
    <r>
      <rPr>
        <sz val="11"/>
        <color theme="1"/>
        <rFont val="Arial Unicode MS"/>
        <family val="2"/>
        <charset val="134"/>
      </rPr>
      <t>). The rated output current for AL17050 should be no more than 60mA.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</si>
</sst>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_ "/>
    <numFmt numFmtId="177" formatCode="0.00_ "/>
    <numFmt numFmtId="178" formatCode="0.0_ "/>
  </numFmts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Arial Unicode MS"/>
      <family val="2"/>
      <charset val="134"/>
    </font>
    <font>
      <sz val="11"/>
      <color rgb="FFFF0000"/>
      <name val="Arial Unicode MS"/>
      <family val="2"/>
      <charset val="134"/>
    </font>
    <font>
      <sz val="11"/>
      <color rgb="FF0000FF"/>
      <name val="Arial Unicode MS"/>
      <family val="2"/>
      <charset val="134"/>
    </font>
    <font>
      <sz val="11"/>
      <color rgb="FFFF00FF"/>
      <name val="Arial Unicode MS"/>
      <family val="2"/>
      <charset val="134"/>
    </font>
    <font>
      <b/>
      <sz val="11"/>
      <color theme="1"/>
      <name val="Arial Unicode MS"/>
      <family val="2"/>
      <charset val="134"/>
    </font>
    <font>
      <sz val="14"/>
      <color theme="1"/>
      <name val="Arial Unicode MS"/>
      <family val="2"/>
      <charset val="134"/>
    </font>
    <font>
      <sz val="8"/>
      <color theme="1"/>
      <name val="Arial Unicode MS"/>
      <family val="2"/>
      <charset val="134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78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0" fillId="0" borderId="40" xfId="0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left" vertical="center"/>
    </xf>
    <xf numFmtId="0" fontId="0" fillId="0" borderId="35" xfId="0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32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25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horizontal="center" vertical="center"/>
    </xf>
    <xf numFmtId="177" fontId="5" fillId="0" borderId="25" xfId="0" applyNumberFormat="1" applyFont="1" applyBorder="1" applyAlignment="1" applyProtection="1">
      <alignment horizontal="center" vertical="center"/>
    </xf>
    <xf numFmtId="177" fontId="5" fillId="0" borderId="28" xfId="0" applyNumberFormat="1" applyFont="1" applyBorder="1" applyAlignment="1" applyProtection="1">
      <alignment horizontal="center" vertical="center"/>
    </xf>
    <xf numFmtId="177" fontId="5" fillId="0" borderId="26" xfId="0" applyNumberFormat="1" applyFont="1" applyBorder="1" applyAlignment="1" applyProtection="1">
      <alignment horizontal="center" vertical="center"/>
    </xf>
    <xf numFmtId="0" fontId="2" fillId="0" borderId="31" xfId="0" applyFont="1" applyBorder="1" applyProtection="1">
      <alignment vertical="center"/>
    </xf>
    <xf numFmtId="178" fontId="4" fillId="0" borderId="6" xfId="0" applyNumberFormat="1" applyFont="1" applyBorder="1" applyAlignment="1" applyProtection="1">
      <alignment horizontal="center" vertical="center"/>
    </xf>
    <xf numFmtId="0" fontId="2" fillId="0" borderId="33" xfId="0" applyFont="1" applyBorder="1" applyProtection="1">
      <alignment vertical="center"/>
    </xf>
    <xf numFmtId="0" fontId="2" fillId="0" borderId="34" xfId="0" applyFont="1" applyBorder="1" applyProtection="1">
      <alignment vertical="center"/>
    </xf>
    <xf numFmtId="0" fontId="2" fillId="0" borderId="22" xfId="0" applyFont="1" applyBorder="1" applyProtection="1">
      <alignment vertical="center"/>
    </xf>
    <xf numFmtId="177" fontId="4" fillId="0" borderId="22" xfId="0" applyNumberFormat="1" applyFont="1" applyBorder="1" applyAlignment="1" applyProtection="1">
      <alignment horizontal="center" vertical="center"/>
    </xf>
    <xf numFmtId="177" fontId="4" fillId="0" borderId="45" xfId="0" applyNumberFormat="1" applyFont="1" applyBorder="1" applyAlignment="1" applyProtection="1">
      <alignment horizontal="center" vertical="center"/>
    </xf>
    <xf numFmtId="0" fontId="2" fillId="0" borderId="20" xfId="0" applyFont="1" applyBorder="1" applyProtection="1">
      <alignment vertical="center"/>
    </xf>
    <xf numFmtId="0" fontId="2" fillId="0" borderId="36" xfId="0" applyFont="1" applyBorder="1" applyProtection="1">
      <alignment vertical="center"/>
    </xf>
    <xf numFmtId="0" fontId="0" fillId="0" borderId="46" xfId="0" applyBorder="1" applyAlignment="1" applyProtection="1">
      <alignment vertical="center"/>
    </xf>
    <xf numFmtId="0" fontId="5" fillId="0" borderId="6" xfId="0" applyFont="1" applyBorder="1" applyAlignment="1" applyProtection="1">
      <alignment horizontal="left" vertical="center"/>
    </xf>
    <xf numFmtId="0" fontId="2" fillId="0" borderId="10" xfId="0" applyFont="1" applyFill="1" applyBorder="1" applyProtection="1">
      <alignment vertical="center"/>
    </xf>
    <xf numFmtId="0" fontId="2" fillId="0" borderId="40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21" xfId="0" applyFont="1" applyBorder="1" applyProtection="1">
      <alignment vertical="center"/>
    </xf>
    <xf numFmtId="0" fontId="5" fillId="0" borderId="21" xfId="0" applyFont="1" applyBorder="1" applyAlignment="1" applyProtection="1">
      <alignment horizontal="left" vertical="center"/>
    </xf>
    <xf numFmtId="0" fontId="2" fillId="0" borderId="20" xfId="0" applyFont="1" applyFill="1" applyBorder="1" applyProtection="1">
      <alignment vertical="center"/>
    </xf>
    <xf numFmtId="0" fontId="2" fillId="0" borderId="36" xfId="0" applyFont="1" applyFill="1" applyBorder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27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30" xfId="0" applyFont="1" applyFill="1" applyBorder="1" applyAlignment="1" applyProtection="1">
      <alignment horizontal="left" vertical="center"/>
    </xf>
    <xf numFmtId="0" fontId="2" fillId="0" borderId="42" xfId="0" applyFont="1" applyBorder="1" applyAlignment="1" applyProtection="1">
      <alignment horizontal="right" vertical="center"/>
    </xf>
    <xf numFmtId="0" fontId="2" fillId="0" borderId="43" xfId="0" applyFont="1" applyBorder="1" applyAlignment="1" applyProtection="1">
      <alignment horizontal="right" vertical="center"/>
    </xf>
    <xf numFmtId="0" fontId="2" fillId="0" borderId="44" xfId="0" applyFont="1" applyBorder="1" applyAlignment="1" applyProtection="1">
      <alignment horizontal="right" vertical="center"/>
    </xf>
    <xf numFmtId="0" fontId="6" fillId="2" borderId="37" xfId="0" applyFont="1" applyFill="1" applyBorder="1" applyAlignment="1" applyProtection="1">
      <alignment horizontal="left" vertical="center"/>
    </xf>
    <xf numFmtId="0" fontId="6" fillId="2" borderId="38" xfId="0" applyFont="1" applyFill="1" applyBorder="1" applyAlignment="1" applyProtection="1">
      <alignment horizontal="left" vertical="center"/>
    </xf>
    <xf numFmtId="178" fontId="4" fillId="0" borderId="25" xfId="0" applyNumberFormat="1" applyFont="1" applyBorder="1" applyAlignment="1" applyProtection="1">
      <alignment horizontal="center" vertical="center"/>
    </xf>
    <xf numFmtId="178" fontId="4" fillId="0" borderId="6" xfId="0" applyNumberFormat="1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left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177" fontId="3" fillId="0" borderId="25" xfId="0" applyNumberFormat="1" applyFont="1" applyBorder="1" applyAlignment="1" applyProtection="1">
      <alignment horizontal="center" vertical="center"/>
      <protection locked="0"/>
    </xf>
    <xf numFmtId="177" fontId="3" fillId="0" borderId="6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176" fontId="4" fillId="0" borderId="33" xfId="0" applyNumberFormat="1" applyFont="1" applyBorder="1" applyAlignment="1" applyProtection="1">
      <alignment horizontal="center" vertical="center"/>
    </xf>
    <xf numFmtId="176" fontId="4" fillId="0" borderId="39" xfId="0" applyNumberFormat="1" applyFont="1" applyBorder="1" applyAlignment="1" applyProtection="1">
      <alignment horizontal="center" vertical="center"/>
    </xf>
    <xf numFmtId="177" fontId="4" fillId="0" borderId="31" xfId="0" applyNumberFormat="1" applyFont="1" applyBorder="1" applyAlignment="1" applyProtection="1">
      <alignment horizontal="center" vertical="center"/>
    </xf>
    <xf numFmtId="177" fontId="4" fillId="0" borderId="21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120VAC</c:v>
          </c:tx>
          <c:cat>
            <c:numRef>
              <c:f>Data!$A$4:$A$17</c:f>
              <c:numCache>
                <c:formatCode>General</c:formatCode>
                <c:ptCount val="14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</c:numCache>
            </c:numRef>
          </c:cat>
          <c:val>
            <c:numRef>
              <c:f>Data!$E$4:$E$17</c:f>
              <c:numCache>
                <c:formatCode>General</c:formatCode>
                <c:ptCount val="14"/>
                <c:pt idx="0">
                  <c:v>95.240382053401333</c:v>
                </c:pt>
                <c:pt idx="1">
                  <c:v>121.44810941287443</c:v>
                </c:pt>
                <c:pt idx="2">
                  <c:v>137.71742726932371</c:v>
                </c:pt>
                <c:pt idx="3">
                  <c:v>149.29925505007299</c:v>
                </c:pt>
                <c:pt idx="4">
                  <c:v>158.13084202529024</c:v>
                </c:pt>
                <c:pt idx="5">
                  <c:v>165.15924655413787</c:v>
                </c:pt>
                <c:pt idx="6">
                  <c:v>170.92092388760287</c:v>
                </c:pt>
                <c:pt idx="7">
                  <c:v>175.74930613383336</c:v>
                </c:pt>
                <c:pt idx="8">
                  <c:v>179.86545566494584</c:v>
                </c:pt>
                <c:pt idx="9">
                  <c:v>183.42310791622359</c:v>
                </c:pt>
                <c:pt idx="10">
                  <c:v>186.53320191713038</c:v>
                </c:pt>
                <c:pt idx="11">
                  <c:v>189.27819373966608</c:v>
                </c:pt>
                <c:pt idx="12">
                  <c:v>191.72087124101859</c:v>
                </c:pt>
                <c:pt idx="13">
                  <c:v>193.91002357281076</c:v>
                </c:pt>
              </c:numCache>
            </c:numRef>
          </c:val>
          <c:smooth val="0"/>
        </c:ser>
        <c:ser>
          <c:idx val="1"/>
          <c:order val="1"/>
          <c:tx>
            <c:v>230VAC</c:v>
          </c:tx>
          <c:cat>
            <c:numRef>
              <c:f>Data!$A$4:$A$17</c:f>
              <c:numCache>
                <c:formatCode>General</c:formatCode>
                <c:ptCount val="14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</c:numCache>
            </c:numRef>
          </c:cat>
          <c:val>
            <c:numRef>
              <c:f>Data!$M$4:$M$17</c:f>
              <c:numCache>
                <c:formatCode>General</c:formatCode>
                <c:ptCount val="14"/>
                <c:pt idx="0">
                  <c:v>98.567001709499806</c:v>
                </c:pt>
                <c:pt idx="1">
                  <c:v>125.08607245517385</c:v>
                </c:pt>
                <c:pt idx="2">
                  <c:v>141.36725177264526</c:v>
                </c:pt>
                <c:pt idx="3">
                  <c:v>152.85993330530715</c:v>
                </c:pt>
                <c:pt idx="4">
                  <c:v>161.56327379254984</c:v>
                </c:pt>
                <c:pt idx="5">
                  <c:v>168.44939016272249</c:v>
                </c:pt>
                <c:pt idx="6">
                  <c:v>174.0661490439781</c:v>
                </c:pt>
                <c:pt idx="7">
                  <c:v>178.75244896331458</c:v>
                </c:pt>
                <c:pt idx="8">
                  <c:v>182.73196572365742</c:v>
                </c:pt>
                <c:pt idx="9">
                  <c:v>186.15959440785716</c:v>
                </c:pt>
                <c:pt idx="10">
                  <c:v>189.1466669025402</c:v>
                </c:pt>
                <c:pt idx="11">
                  <c:v>191.77562263469227</c:v>
                </c:pt>
                <c:pt idx="12">
                  <c:v>194.10901684806632</c:v>
                </c:pt>
                <c:pt idx="13">
                  <c:v>196.19529786459188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51488"/>
        <c:axId val="49953408"/>
      </c:lineChart>
      <c:catAx>
        <c:axId val="499514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200" b="0"/>
                  <a:t>Io(mA)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953408"/>
        <c:crosses val="autoZero"/>
        <c:auto val="1"/>
        <c:lblAlgn val="ctr"/>
        <c:lblOffset val="100"/>
        <c:noMultiLvlLbl val="0"/>
      </c:catAx>
      <c:valAx>
        <c:axId val="49953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1200" b="0"/>
                  <a:t>Peak Current(mA)</a:t>
                </a:r>
                <a:endParaRPr lang="zh-CN" altLang="en-US" sz="12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951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120VAC</c:v>
          </c:tx>
          <c:cat>
            <c:numRef>
              <c:f>Data!$A$4:$A$17</c:f>
              <c:numCache>
                <c:formatCode>General</c:formatCode>
                <c:ptCount val="14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</c:numCache>
            </c:numRef>
          </c:cat>
          <c:val>
            <c:numRef>
              <c:f>Data!$F$4:$F$17</c:f>
              <c:numCache>
                <c:formatCode>General</c:formatCode>
                <c:ptCount val="14"/>
                <c:pt idx="0">
                  <c:v>7.1770998648673272</c:v>
                </c:pt>
                <c:pt idx="1">
                  <c:v>8.8275406399308007</c:v>
                </c:pt>
                <c:pt idx="2">
                  <c:v>10.297568742320871</c:v>
                </c:pt>
                <c:pt idx="3">
                  <c:v>11.682504495434154</c:v>
                </c:pt>
                <c:pt idx="4">
                  <c:v>13.017514926586149</c:v>
                </c:pt>
                <c:pt idx="5">
                  <c:v>14.319792055254656</c:v>
                </c:pt>
                <c:pt idx="6">
                  <c:v>15.599074192742973</c:v>
                </c:pt>
                <c:pt idx="7">
                  <c:v>16.861414156432801</c:v>
                </c:pt>
                <c:pt idx="8">
                  <c:v>18.110824907690709</c:v>
                </c:pt>
                <c:pt idx="9">
                  <c:v>19.350097217087768</c:v>
                </c:pt>
                <c:pt idx="10">
                  <c:v>20.581244968918355</c:v>
                </c:pt>
                <c:pt idx="11">
                  <c:v>21.805764994272288</c:v>
                </c:pt>
                <c:pt idx="12">
                  <c:v>23.02479708570127</c:v>
                </c:pt>
                <c:pt idx="13">
                  <c:v>24.239226916233594</c:v>
                </c:pt>
              </c:numCache>
            </c:numRef>
          </c:val>
          <c:smooth val="0"/>
        </c:ser>
        <c:ser>
          <c:idx val="1"/>
          <c:order val="1"/>
          <c:tx>
            <c:v>230VAC</c:v>
          </c:tx>
          <c:cat>
            <c:numRef>
              <c:f>Data!$A$4:$A$17</c:f>
              <c:numCache>
                <c:formatCode>General</c:formatCode>
                <c:ptCount val="14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</c:numCache>
            </c:numRef>
          </c:cat>
          <c:val>
            <c:numRef>
              <c:f>Data!$N$4:$N$17</c:f>
              <c:numCache>
                <c:formatCode>General</c:formatCode>
                <c:ptCount val="14"/>
                <c:pt idx="0">
                  <c:v>7.1344252321581418</c:v>
                </c:pt>
                <c:pt idx="1">
                  <c:v>8.860009056894997</c:v>
                </c:pt>
                <c:pt idx="2">
                  <c:v>10.405086794792719</c:v>
                </c:pt>
                <c:pt idx="3">
                  <c:v>11.865737675555314</c:v>
                </c:pt>
                <c:pt idx="4">
                  <c:v>13.277209187646204</c:v>
                </c:pt>
                <c:pt idx="5">
                  <c:v>14.656640897734654</c:v>
                </c:pt>
                <c:pt idx="6">
                  <c:v>16.013692339900636</c:v>
                </c:pt>
                <c:pt idx="7">
                  <c:v>17.354338694421546</c:v>
                </c:pt>
                <c:pt idx="8">
                  <c:v>18.68252362920887</c:v>
                </c:pt>
                <c:pt idx="9">
                  <c:v>20.000978127050612</c:v>
                </c:pt>
                <c:pt idx="10">
                  <c:v>21.311665100264833</c:v>
                </c:pt>
                <c:pt idx="11">
                  <c:v>22.616038053068781</c:v>
                </c:pt>
                <c:pt idx="12">
                  <c:v>23.915199908104302</c:v>
                </c:pt>
                <c:pt idx="13">
                  <c:v>25.210004866362571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82848"/>
        <c:axId val="50001408"/>
      </c:lineChart>
      <c:catAx>
        <c:axId val="499828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200" b="0"/>
                  <a:t>Io(mA)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001408"/>
        <c:crosses val="autoZero"/>
        <c:auto val="1"/>
        <c:lblAlgn val="ctr"/>
        <c:lblOffset val="100"/>
        <c:noMultiLvlLbl val="0"/>
      </c:catAx>
      <c:valAx>
        <c:axId val="50001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1200" b="0"/>
                  <a:t>Frequency(kHz)</a:t>
                </a:r>
                <a:endParaRPr lang="zh-CN" altLang="en-US" sz="1200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9982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120VAC</c:v>
          </c:tx>
          <c:cat>
            <c:numRef>
              <c:f>Data!$A$4:$A$23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cat>
          <c:val>
            <c:numRef>
              <c:f>Data!$E$4:$E$23</c:f>
              <c:numCache>
                <c:formatCode>General</c:formatCode>
                <c:ptCount val="20"/>
                <c:pt idx="0">
                  <c:v>95.240382053401333</c:v>
                </c:pt>
                <c:pt idx="1">
                  <c:v>121.44810941287443</c:v>
                </c:pt>
                <c:pt idx="2">
                  <c:v>137.71742726932371</c:v>
                </c:pt>
                <c:pt idx="3">
                  <c:v>149.29925505007299</c:v>
                </c:pt>
                <c:pt idx="4">
                  <c:v>158.13084202529024</c:v>
                </c:pt>
                <c:pt idx="5">
                  <c:v>165.15924655413787</c:v>
                </c:pt>
                <c:pt idx="6">
                  <c:v>170.92092388760287</c:v>
                </c:pt>
                <c:pt idx="7">
                  <c:v>175.74930613383336</c:v>
                </c:pt>
                <c:pt idx="8">
                  <c:v>179.86545566494584</c:v>
                </c:pt>
                <c:pt idx="9">
                  <c:v>183.42310791622359</c:v>
                </c:pt>
                <c:pt idx="10">
                  <c:v>186.53320191713038</c:v>
                </c:pt>
                <c:pt idx="11">
                  <c:v>189.27819373966608</c:v>
                </c:pt>
                <c:pt idx="12">
                  <c:v>191.72087124101859</c:v>
                </c:pt>
                <c:pt idx="13">
                  <c:v>193.91002357281076</c:v>
                </c:pt>
                <c:pt idx="14">
                  <c:v>195.88422068170334</c:v>
                </c:pt>
                <c:pt idx="15">
                  <c:v>197.67440977140129</c:v>
                </c:pt>
                <c:pt idx="16">
                  <c:v>199.30574535033338</c:v>
                </c:pt>
                <c:pt idx="17">
                  <c:v>200.79890796335718</c:v>
                </c:pt>
                <c:pt idx="18">
                  <c:v>202.17107301230783</c:v>
                </c:pt>
                <c:pt idx="19">
                  <c:v>203.43663473622743</c:v>
                </c:pt>
              </c:numCache>
            </c:numRef>
          </c:val>
          <c:smooth val="0"/>
        </c:ser>
        <c:ser>
          <c:idx val="1"/>
          <c:order val="1"/>
          <c:tx>
            <c:v>230VAC</c:v>
          </c:tx>
          <c:cat>
            <c:numRef>
              <c:f>Data!$A$4:$A$23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cat>
          <c:val>
            <c:numRef>
              <c:f>Data!$M$4:$M$23</c:f>
              <c:numCache>
                <c:formatCode>General</c:formatCode>
                <c:ptCount val="20"/>
                <c:pt idx="0">
                  <c:v>98.567001709499806</c:v>
                </c:pt>
                <c:pt idx="1">
                  <c:v>125.08607245517385</c:v>
                </c:pt>
                <c:pt idx="2">
                  <c:v>141.36725177264526</c:v>
                </c:pt>
                <c:pt idx="3">
                  <c:v>152.85993330530715</c:v>
                </c:pt>
                <c:pt idx="4">
                  <c:v>161.56327379254984</c:v>
                </c:pt>
                <c:pt idx="5">
                  <c:v>168.44939016272249</c:v>
                </c:pt>
                <c:pt idx="6">
                  <c:v>174.0661490439781</c:v>
                </c:pt>
                <c:pt idx="7">
                  <c:v>178.75244896331458</c:v>
                </c:pt>
                <c:pt idx="8">
                  <c:v>182.73196572365742</c:v>
                </c:pt>
                <c:pt idx="9">
                  <c:v>186.15959440785716</c:v>
                </c:pt>
                <c:pt idx="10">
                  <c:v>189.1466669025402</c:v>
                </c:pt>
                <c:pt idx="11">
                  <c:v>191.77562263469227</c:v>
                </c:pt>
                <c:pt idx="12">
                  <c:v>194.10901684806632</c:v>
                </c:pt>
                <c:pt idx="13">
                  <c:v>196.19529786459188</c:v>
                </c:pt>
                <c:pt idx="14">
                  <c:v>198.07264752738362</c:v>
                </c:pt>
                <c:pt idx="15">
                  <c:v>199.77161225164005</c:v>
                </c:pt>
                <c:pt idx="16">
                  <c:v>201.31695247589036</c:v>
                </c:pt>
                <c:pt idx="17">
                  <c:v>202.72897190605912</c:v>
                </c:pt>
                <c:pt idx="18">
                  <c:v>204.02449159624709</c:v>
                </c:pt>
                <c:pt idx="19">
                  <c:v>205.21757608406421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27232"/>
        <c:axId val="51065984"/>
      </c:lineChart>
      <c:catAx>
        <c:axId val="50527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200" b="0"/>
                  <a:t>Io(mA)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065984"/>
        <c:crosses val="autoZero"/>
        <c:auto val="1"/>
        <c:lblAlgn val="ctr"/>
        <c:lblOffset val="100"/>
        <c:noMultiLvlLbl val="0"/>
      </c:catAx>
      <c:valAx>
        <c:axId val="51065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1200" b="0"/>
                  <a:t>Peak Current(mA)</a:t>
                </a:r>
                <a:endParaRPr lang="zh-CN" altLang="en-US" sz="1200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527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120VAC</c:v>
          </c:tx>
          <c:cat>
            <c:numRef>
              <c:f>Data!$A$4:$A$23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cat>
          <c:val>
            <c:numRef>
              <c:f>Data!$F$4:$F$23</c:f>
              <c:numCache>
                <c:formatCode>General</c:formatCode>
                <c:ptCount val="20"/>
                <c:pt idx="0">
                  <c:v>7.1770998648673272</c:v>
                </c:pt>
                <c:pt idx="1">
                  <c:v>8.8275406399308007</c:v>
                </c:pt>
                <c:pt idx="2">
                  <c:v>10.297568742320871</c:v>
                </c:pt>
                <c:pt idx="3">
                  <c:v>11.682504495434154</c:v>
                </c:pt>
                <c:pt idx="4">
                  <c:v>13.017514926586149</c:v>
                </c:pt>
                <c:pt idx="5">
                  <c:v>14.319792055254656</c:v>
                </c:pt>
                <c:pt idx="6">
                  <c:v>15.599074192742973</c:v>
                </c:pt>
                <c:pt idx="7">
                  <c:v>16.861414156432801</c:v>
                </c:pt>
                <c:pt idx="8">
                  <c:v>18.110824907690709</c:v>
                </c:pt>
                <c:pt idx="9">
                  <c:v>19.350097217087768</c:v>
                </c:pt>
                <c:pt idx="10">
                  <c:v>20.581244968918355</c:v>
                </c:pt>
                <c:pt idx="11">
                  <c:v>21.805764994272288</c:v>
                </c:pt>
                <c:pt idx="12">
                  <c:v>23.02479708570127</c:v>
                </c:pt>
                <c:pt idx="13">
                  <c:v>24.239226916233594</c:v>
                </c:pt>
                <c:pt idx="14">
                  <c:v>25.449754648924586</c:v>
                </c:pt>
                <c:pt idx="15">
                  <c:v>26.656942070620492</c:v>
                </c:pt>
                <c:pt idx="16">
                  <c:v>27.861245812947814</c:v>
                </c:pt>
                <c:pt idx="17">
                  <c:v>29.063041291345829</c:v>
                </c:pt>
                <c:pt idx="18">
                  <c:v>30.262640292136979</c:v>
                </c:pt>
                <c:pt idx="19">
                  <c:v>31.46030411499256</c:v>
                </c:pt>
              </c:numCache>
            </c:numRef>
          </c:val>
          <c:smooth val="0"/>
        </c:ser>
        <c:ser>
          <c:idx val="1"/>
          <c:order val="1"/>
          <c:tx>
            <c:v>230VAC</c:v>
          </c:tx>
          <c:cat>
            <c:numRef>
              <c:f>Data!$A$4:$A$23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cat>
          <c:val>
            <c:numRef>
              <c:f>Data!$N$4:$N$23</c:f>
              <c:numCache>
                <c:formatCode>General</c:formatCode>
                <c:ptCount val="20"/>
                <c:pt idx="0">
                  <c:v>7.1344252321581418</c:v>
                </c:pt>
                <c:pt idx="1">
                  <c:v>8.860009056894997</c:v>
                </c:pt>
                <c:pt idx="2">
                  <c:v>10.405086794792719</c:v>
                </c:pt>
                <c:pt idx="3">
                  <c:v>11.865737675555314</c:v>
                </c:pt>
                <c:pt idx="4">
                  <c:v>13.277209187646204</c:v>
                </c:pt>
                <c:pt idx="5">
                  <c:v>14.656640897734654</c:v>
                </c:pt>
                <c:pt idx="6">
                  <c:v>16.013692339900636</c:v>
                </c:pt>
                <c:pt idx="7">
                  <c:v>17.354338694421546</c:v>
                </c:pt>
                <c:pt idx="8">
                  <c:v>18.68252362920887</c:v>
                </c:pt>
                <c:pt idx="9">
                  <c:v>20.000978127050612</c:v>
                </c:pt>
                <c:pt idx="10">
                  <c:v>21.311665100264833</c:v>
                </c:pt>
                <c:pt idx="11">
                  <c:v>22.616038053068781</c:v>
                </c:pt>
                <c:pt idx="12">
                  <c:v>23.915199908104302</c:v>
                </c:pt>
                <c:pt idx="13">
                  <c:v>25.210004866362571</c:v>
                </c:pt>
                <c:pt idx="14">
                  <c:v>26.501126118718599</c:v>
                </c:pt>
                <c:pt idx="15">
                  <c:v>27.789102234458205</c:v>
                </c:pt>
                <c:pt idx="16">
                  <c:v>29.074369769282146</c:v>
                </c:pt>
                <c:pt idx="17">
                  <c:v>30.357286701445112</c:v>
                </c:pt>
                <c:pt idx="18">
                  <c:v>31.638149605947284</c:v>
                </c:pt>
                <c:pt idx="19">
                  <c:v>32.917206457155778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91328"/>
        <c:axId val="51101696"/>
      </c:lineChart>
      <c:catAx>
        <c:axId val="510913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200" b="0"/>
                  <a:t>Io(mA)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101696"/>
        <c:crosses val="autoZero"/>
        <c:auto val="1"/>
        <c:lblAlgn val="ctr"/>
        <c:lblOffset val="100"/>
        <c:noMultiLvlLbl val="0"/>
      </c:catAx>
      <c:valAx>
        <c:axId val="51101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zh-CN" sz="1200" b="0"/>
                  <a:t>Frequency(kHz)</a:t>
                </a:r>
                <a:endParaRPr lang="zh-CN" altLang="en-US" sz="1200" b="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1091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7327</xdr:colOff>
      <xdr:row>3</xdr:row>
      <xdr:rowOff>16328</xdr:rowOff>
    </xdr:from>
    <xdr:to>
      <xdr:col>6</xdr:col>
      <xdr:colOff>4263156</xdr:colOff>
      <xdr:row>20</xdr:row>
      <xdr:rowOff>9128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33501</xdr:rowOff>
    </xdr:from>
    <xdr:to>
      <xdr:col>6</xdr:col>
      <xdr:colOff>4254037</xdr:colOff>
      <xdr:row>37</xdr:row>
      <xdr:rowOff>188226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40</xdr:row>
      <xdr:rowOff>161925</xdr:rowOff>
    </xdr:from>
    <xdr:to>
      <xdr:col>3</xdr:col>
      <xdr:colOff>1199619</xdr:colOff>
      <xdr:row>43</xdr:row>
      <xdr:rowOff>76146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7886700"/>
          <a:ext cx="4247619" cy="4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40</xdr:row>
      <xdr:rowOff>104775</xdr:rowOff>
    </xdr:from>
    <xdr:to>
      <xdr:col>6</xdr:col>
      <xdr:colOff>104530</xdr:colOff>
      <xdr:row>43</xdr:row>
      <xdr:rowOff>85663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2100" y="7829550"/>
          <a:ext cx="1961905" cy="49523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24</xdr:row>
      <xdr:rowOff>4762</xdr:rowOff>
    </xdr:from>
    <xdr:to>
      <xdr:col>3</xdr:col>
      <xdr:colOff>1447800</xdr:colOff>
      <xdr:row>40</xdr:row>
      <xdr:rowOff>4762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24</xdr:row>
      <xdr:rowOff>9525</xdr:rowOff>
    </xdr:from>
    <xdr:to>
      <xdr:col>8</xdr:col>
      <xdr:colOff>695325</xdr:colOff>
      <xdr:row>40</xdr:row>
      <xdr:rowOff>9525</xdr:rowOff>
    </xdr:to>
    <xdr:graphicFrame macro="">
      <xdr:nvGraphicFramePr>
        <xdr:cNvPr id="7" name="图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257175</xdr:colOff>
      <xdr:row>40</xdr:row>
      <xdr:rowOff>95250</xdr:rowOff>
    </xdr:from>
    <xdr:to>
      <xdr:col>7</xdr:col>
      <xdr:colOff>638006</xdr:colOff>
      <xdr:row>43</xdr:row>
      <xdr:rowOff>114233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86650" y="7820025"/>
          <a:ext cx="1352381" cy="5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Normal="100" workbookViewId="0">
      <selection activeCell="H3" sqref="H3"/>
    </sheetView>
  </sheetViews>
  <sheetFormatPr defaultRowHeight="13.5"/>
  <cols>
    <col min="1" max="1" width="40.25" style="24" bestFit="1" customWidth="1"/>
    <col min="2" max="2" width="14.75" style="24" customWidth="1"/>
    <col min="3" max="3" width="16.125" style="65" customWidth="1"/>
    <col min="4" max="4" width="12.5" style="65" hidden="1" customWidth="1"/>
    <col min="5" max="5" width="9.375" style="24" customWidth="1"/>
    <col min="6" max="6" width="11.75" style="24" hidden="1" customWidth="1"/>
    <col min="7" max="7" width="56.25" style="24" customWidth="1"/>
    <col min="8" max="8" width="12.5" style="24" customWidth="1"/>
    <col min="9" max="9" width="18.375" style="24" bestFit="1" customWidth="1"/>
    <col min="10" max="16384" width="9" style="24"/>
  </cols>
  <sheetData>
    <row r="1" spans="1:9" ht="24.75" customHeight="1" thickBot="1">
      <c r="A1" s="67" t="s">
        <v>90</v>
      </c>
      <c r="B1" s="67"/>
      <c r="C1" s="67"/>
      <c r="D1" s="67"/>
      <c r="E1" s="67"/>
      <c r="F1" s="67"/>
      <c r="G1" s="67"/>
      <c r="H1" s="23"/>
    </row>
    <row r="2" spans="1:9" ht="21" thickBot="1">
      <c r="A2" s="72" t="s">
        <v>125</v>
      </c>
      <c r="B2" s="73"/>
      <c r="C2" s="73"/>
      <c r="D2" s="73"/>
      <c r="E2" s="73"/>
      <c r="F2" s="73"/>
      <c r="G2" s="74"/>
      <c r="H2" s="23"/>
    </row>
    <row r="3" spans="1:9" ht="37.5" customHeight="1" thickBot="1">
      <c r="A3" s="66" t="s">
        <v>126</v>
      </c>
      <c r="B3" s="66"/>
      <c r="C3" s="66"/>
      <c r="D3" s="66"/>
      <c r="E3" s="66"/>
      <c r="F3" s="66"/>
      <c r="G3" s="66"/>
    </row>
    <row r="4" spans="1:9" ht="16.5" customHeight="1" thickBot="1">
      <c r="A4" s="25" t="s">
        <v>91</v>
      </c>
      <c r="B4" s="26" t="s">
        <v>92</v>
      </c>
      <c r="C4" s="87" t="s">
        <v>93</v>
      </c>
      <c r="D4" s="88"/>
      <c r="E4" s="27" t="s">
        <v>94</v>
      </c>
      <c r="F4" s="25"/>
      <c r="G4" s="28"/>
    </row>
    <row r="5" spans="1:9" ht="17.25" customHeight="1" thickBot="1">
      <c r="A5" s="69" t="s">
        <v>106</v>
      </c>
      <c r="B5" s="69"/>
      <c r="C5" s="75"/>
      <c r="D5" s="76"/>
      <c r="E5" s="71"/>
      <c r="F5" s="29"/>
      <c r="G5" s="30"/>
      <c r="I5" s="31"/>
    </row>
    <row r="6" spans="1:9" ht="16.5">
      <c r="A6" s="32" t="s">
        <v>98</v>
      </c>
      <c r="B6" s="33" t="s">
        <v>34</v>
      </c>
      <c r="C6" s="92">
        <v>85</v>
      </c>
      <c r="D6" s="93"/>
      <c r="E6" s="34" t="s">
        <v>0</v>
      </c>
      <c r="F6" s="35"/>
      <c r="G6" s="30"/>
      <c r="I6" s="31"/>
    </row>
    <row r="7" spans="1:9" ht="16.5">
      <c r="A7" s="33" t="s">
        <v>99</v>
      </c>
      <c r="B7" s="33" t="s">
        <v>33</v>
      </c>
      <c r="C7" s="79">
        <v>265</v>
      </c>
      <c r="D7" s="80"/>
      <c r="E7" s="36" t="s">
        <v>0</v>
      </c>
      <c r="F7" s="35"/>
      <c r="G7" s="30"/>
      <c r="I7" s="31"/>
    </row>
    <row r="8" spans="1:9" ht="16.5">
      <c r="A8" s="33" t="s">
        <v>100</v>
      </c>
      <c r="B8" s="33" t="s">
        <v>84</v>
      </c>
      <c r="C8" s="94">
        <v>3.3</v>
      </c>
      <c r="D8" s="95"/>
      <c r="E8" s="36" t="s">
        <v>1</v>
      </c>
      <c r="F8" s="35"/>
      <c r="G8" s="30"/>
    </row>
    <row r="9" spans="1:9" ht="16.5">
      <c r="A9" s="33" t="s">
        <v>101</v>
      </c>
      <c r="B9" s="33" t="s">
        <v>32</v>
      </c>
      <c r="C9" s="79">
        <v>60</v>
      </c>
      <c r="D9" s="80"/>
      <c r="E9" s="36" t="s">
        <v>2</v>
      </c>
      <c r="F9" s="35"/>
      <c r="G9" s="30"/>
    </row>
    <row r="10" spans="1:9" ht="16.5">
      <c r="A10" s="33" t="s">
        <v>102</v>
      </c>
      <c r="B10" s="33" t="s">
        <v>83</v>
      </c>
      <c r="C10" s="21">
        <v>50</v>
      </c>
      <c r="D10" s="22"/>
      <c r="E10" s="36" t="s">
        <v>85</v>
      </c>
      <c r="F10" s="35"/>
      <c r="G10" s="30"/>
    </row>
    <row r="11" spans="1:9" ht="16.5">
      <c r="A11" s="33" t="s">
        <v>97</v>
      </c>
      <c r="B11" s="33" t="s">
        <v>53</v>
      </c>
      <c r="C11" s="21">
        <v>60</v>
      </c>
      <c r="D11" s="19"/>
      <c r="E11" s="36" t="s">
        <v>52</v>
      </c>
      <c r="F11" s="35"/>
      <c r="G11" s="30"/>
    </row>
    <row r="12" spans="1:9" ht="16.5" customHeight="1">
      <c r="A12" s="33" t="s">
        <v>95</v>
      </c>
      <c r="B12" s="33" t="s">
        <v>35</v>
      </c>
      <c r="C12" s="19">
        <v>25</v>
      </c>
      <c r="D12" s="21"/>
      <c r="E12" s="36" t="s">
        <v>3</v>
      </c>
      <c r="F12" s="35"/>
      <c r="G12" s="30"/>
    </row>
    <row r="13" spans="1:9" ht="16.5" customHeight="1" thickBot="1">
      <c r="A13" s="33" t="s">
        <v>96</v>
      </c>
      <c r="B13" s="33" t="s">
        <v>36</v>
      </c>
      <c r="C13" s="19">
        <v>200</v>
      </c>
      <c r="D13" s="21"/>
      <c r="E13" s="36" t="s">
        <v>5</v>
      </c>
      <c r="F13" s="35"/>
      <c r="G13" s="30"/>
    </row>
    <row r="14" spans="1:9" ht="17.25" hidden="1" thickBot="1">
      <c r="A14" s="69" t="s">
        <v>15</v>
      </c>
      <c r="B14" s="69"/>
      <c r="C14" s="70"/>
      <c r="D14" s="71"/>
      <c r="E14" s="71"/>
      <c r="F14" s="29"/>
      <c r="G14" s="30"/>
    </row>
    <row r="15" spans="1:9" ht="16.5" hidden="1" customHeight="1">
      <c r="A15" s="33" t="s">
        <v>7</v>
      </c>
      <c r="B15" s="33" t="s">
        <v>37</v>
      </c>
      <c r="C15" s="96">
        <v>220</v>
      </c>
      <c r="D15" s="97"/>
      <c r="E15" s="36" t="s">
        <v>2</v>
      </c>
      <c r="F15" s="35"/>
      <c r="G15" s="30"/>
    </row>
    <row r="16" spans="1:9" ht="16.5" hidden="1">
      <c r="A16" s="33" t="s">
        <v>8</v>
      </c>
      <c r="B16" s="33" t="s">
        <v>38</v>
      </c>
      <c r="C16" s="98">
        <v>2.5</v>
      </c>
      <c r="D16" s="99"/>
      <c r="E16" s="36" t="s">
        <v>1</v>
      </c>
      <c r="F16" s="35"/>
      <c r="G16" s="30"/>
    </row>
    <row r="17" spans="1:8" ht="17.25" hidden="1" thickBot="1">
      <c r="A17" s="33" t="s">
        <v>9</v>
      </c>
      <c r="B17" s="33" t="s">
        <v>39</v>
      </c>
      <c r="C17" s="100">
        <v>14</v>
      </c>
      <c r="D17" s="101"/>
      <c r="E17" s="36" t="s">
        <v>10</v>
      </c>
      <c r="F17" s="35"/>
      <c r="G17" s="30"/>
    </row>
    <row r="18" spans="1:8" ht="17.25" customHeight="1" thickBot="1">
      <c r="A18" s="69" t="s">
        <v>103</v>
      </c>
      <c r="B18" s="69"/>
      <c r="C18" s="70"/>
      <c r="D18" s="71"/>
      <c r="E18" s="71"/>
      <c r="F18" s="29"/>
      <c r="G18" s="30"/>
    </row>
    <row r="19" spans="1:8" ht="16.5">
      <c r="A19" s="33" t="s">
        <v>104</v>
      </c>
      <c r="B19" s="33" t="s">
        <v>41</v>
      </c>
      <c r="C19" s="102">
        <f>2*1000*(1.414*C7-C8)*C9*(C8+0.7)/(0.01*C11*C12*C13*C13*1.414*C7)</f>
        <v>0.79295455151984184</v>
      </c>
      <c r="D19" s="103"/>
      <c r="E19" s="36" t="s">
        <v>4</v>
      </c>
      <c r="F19" s="35"/>
      <c r="G19" s="30"/>
    </row>
    <row r="20" spans="1:8" ht="16.5">
      <c r="A20" s="33" t="s">
        <v>110</v>
      </c>
      <c r="B20" s="33" t="s">
        <v>40</v>
      </c>
      <c r="C20" s="79">
        <v>1</v>
      </c>
      <c r="D20" s="80"/>
      <c r="E20" s="36" t="s">
        <v>6</v>
      </c>
      <c r="F20" s="35"/>
      <c r="G20" s="30"/>
      <c r="H20" s="37"/>
    </row>
    <row r="21" spans="1:8" ht="17.25" thickBot="1">
      <c r="A21" s="38" t="s">
        <v>105</v>
      </c>
      <c r="B21" s="38"/>
      <c r="C21" s="85" t="str">
        <f>IF(AND(C28&gt;0.35,C29&gt;C17,(0.5*0.01*C11*C20*C15*C15/C17)&gt;C8*C9),"OK","BAD")</f>
        <v>OK</v>
      </c>
      <c r="D21" s="86"/>
      <c r="E21" s="39"/>
      <c r="F21" s="35"/>
      <c r="G21" s="30"/>
    </row>
    <row r="22" spans="1:8" ht="17.25" customHeight="1" thickBot="1">
      <c r="A22" s="68" t="s">
        <v>121</v>
      </c>
      <c r="B22" s="69"/>
      <c r="C22" s="70"/>
      <c r="D22" s="71"/>
      <c r="E22" s="71"/>
      <c r="F22" s="29"/>
      <c r="G22" s="30"/>
    </row>
    <row r="23" spans="1:8" ht="16.5" hidden="1" customHeight="1">
      <c r="A23" s="33" t="s">
        <v>17</v>
      </c>
      <c r="B23" s="33"/>
      <c r="C23" s="40">
        <f>0.01*C11*C20*(1.414*C7+0.7)/(2*(1.414*C7-C8)*(C8+0.7)*C9)</f>
        <v>1.2634622115721169E-3</v>
      </c>
      <c r="D23" s="41">
        <f>0.01*C11*C20*(1.414*230+0.7)/(2*(1.414*230-C8)*(C8+0.7)*C9)</f>
        <v>1.2655318091451292E-3</v>
      </c>
      <c r="E23" s="36"/>
      <c r="F23" s="24">
        <f>0.01*C11*C20*(1.414*C6+0.7)/(2*(1.414*C6-C8)*(C8+0.7)*C9)</f>
        <v>1.2927752587903157E-3</v>
      </c>
      <c r="G23" s="30"/>
    </row>
    <row r="24" spans="1:8" ht="16.5" hidden="1">
      <c r="A24" s="33" t="s">
        <v>18</v>
      </c>
      <c r="B24" s="33"/>
      <c r="C24" s="40">
        <f>1-(C20/(C7*1.414-C8))</f>
        <v>0.99730755768557655</v>
      </c>
      <c r="D24" s="41">
        <f>1-(C20/(230*1.414-C8))</f>
        <v>0.99689363817097421</v>
      </c>
      <c r="E24" s="36"/>
      <c r="F24" s="24">
        <f>1-(C20/(C6*1.414-C8))</f>
        <v>0.99144494824193685</v>
      </c>
      <c r="G24" s="30"/>
    </row>
    <row r="25" spans="1:8" ht="16.5" hidden="1">
      <c r="A25" s="33" t="s">
        <v>19</v>
      </c>
      <c r="B25" s="33"/>
      <c r="C25" s="40">
        <f>-(C15+C17)</f>
        <v>-234</v>
      </c>
      <c r="D25" s="41">
        <f>-(C15+C17)</f>
        <v>-234</v>
      </c>
      <c r="E25" s="36"/>
      <c r="F25" s="24">
        <f>-(C15+C17)</f>
        <v>-234</v>
      </c>
      <c r="G25" s="30"/>
    </row>
    <row r="26" spans="1:8" ht="17.25" customHeight="1">
      <c r="A26" s="33" t="s">
        <v>123</v>
      </c>
      <c r="B26" s="33" t="s">
        <v>77</v>
      </c>
      <c r="C26" s="42">
        <f>(-C24+SQRT(C24*C24-4*C23*C25))/(2*C23)</f>
        <v>189.2553776454879</v>
      </c>
      <c r="D26" s="43">
        <f>(-D24+SQRT(D24*D24-4*D23*D25))/(2*D23)</f>
        <v>189.25822908424311</v>
      </c>
      <c r="E26" s="36" t="s">
        <v>5</v>
      </c>
      <c r="F26" s="24">
        <f>(-F24+SQRT(F24*F24-4*F23*F25))/(2*F23)</f>
        <v>189.2956304575419</v>
      </c>
      <c r="G26" s="30"/>
    </row>
    <row r="27" spans="1:8" ht="16.5">
      <c r="A27" s="33" t="s">
        <v>124</v>
      </c>
      <c r="B27" s="33" t="s">
        <v>78</v>
      </c>
      <c r="C27" s="42">
        <f>(2*1000*(1.414*C7-C8)*C9*(C8+0.7))/(0.01*C11*C20*C26*C26*(1.414*C7+0.7))</f>
        <v>22.097405497933533</v>
      </c>
      <c r="D27" s="43">
        <f>(2*1000*(1.414*230-C8)*C9*(C8+0.7))/(0.01*C11*C20*C26*C26*(1.414*230+0.7))</f>
        <v>22.061268328991659</v>
      </c>
      <c r="E27" s="36" t="s">
        <v>11</v>
      </c>
      <c r="F27" s="24">
        <f>F26*SQRT(2*C9*C8/(3*1.414*C6*F26))</f>
        <v>14.418599959682872</v>
      </c>
      <c r="G27" s="30"/>
    </row>
    <row r="28" spans="1:8" ht="16.5" hidden="1">
      <c r="A28" s="33" t="s">
        <v>80</v>
      </c>
      <c r="B28" s="33" t="s">
        <v>42</v>
      </c>
      <c r="C28" s="40">
        <f>C20*C26/(1.414*C7-C8)</f>
        <v>0.50955918700489466</v>
      </c>
      <c r="D28" s="41">
        <f>C20*D26/(1.414*230-C8)</f>
        <v>0.58790453865632186</v>
      </c>
      <c r="E28" s="36" t="s">
        <v>10</v>
      </c>
      <c r="F28" s="35"/>
      <c r="G28" s="30"/>
    </row>
    <row r="29" spans="1:8" ht="16.5" hidden="1" customHeight="1">
      <c r="A29" s="33" t="s">
        <v>81</v>
      </c>
      <c r="B29" s="33" t="s">
        <v>43</v>
      </c>
      <c r="C29" s="40">
        <f>(1000/C27)-C28</f>
        <v>44.744622354512103</v>
      </c>
      <c r="D29" s="41">
        <f>(1000/D27)-D28</f>
        <v>44.740405016685834</v>
      </c>
      <c r="E29" s="36" t="s">
        <v>10</v>
      </c>
      <c r="F29" s="35"/>
      <c r="G29" s="30"/>
    </row>
    <row r="30" spans="1:8" ht="17.25" thickBot="1">
      <c r="A30" s="38" t="s">
        <v>122</v>
      </c>
      <c r="B30" s="38" t="s">
        <v>82</v>
      </c>
      <c r="C30" s="44">
        <f>F26*SQRT(2*C9*C8/(3*1.414*C6*F26))</f>
        <v>14.418599959682872</v>
      </c>
      <c r="D30" s="45">
        <f>D26*SQRT(2*C9*C8/(3*1.414*230*D26))</f>
        <v>8.7644714138045625</v>
      </c>
      <c r="E30" s="46" t="s">
        <v>31</v>
      </c>
      <c r="F30" s="35"/>
      <c r="G30" s="30"/>
    </row>
    <row r="31" spans="1:8" ht="17.25" thickBot="1">
      <c r="A31" s="68" t="s">
        <v>107</v>
      </c>
      <c r="B31" s="69"/>
      <c r="C31" s="70"/>
      <c r="D31" s="71"/>
      <c r="E31" s="71"/>
      <c r="F31" s="29"/>
      <c r="G31" s="30"/>
    </row>
    <row r="32" spans="1:8" ht="16.5">
      <c r="A32" s="33" t="s">
        <v>113</v>
      </c>
      <c r="B32" s="33" t="s">
        <v>89</v>
      </c>
      <c r="C32" s="79">
        <v>0.15</v>
      </c>
      <c r="D32" s="80"/>
      <c r="E32" s="36" t="s">
        <v>12</v>
      </c>
      <c r="F32" s="35"/>
      <c r="G32" s="30"/>
    </row>
    <row r="33" spans="1:7" ht="16.5" customHeight="1">
      <c r="A33" s="33" t="s">
        <v>111</v>
      </c>
      <c r="B33" s="33" t="s">
        <v>87</v>
      </c>
      <c r="C33" s="77">
        <f>IF(C10&gt;C26*C32,1000*C9*(C26-C9)/((C10-C26*C32)*C27*C26),"Pls decrease ESR ")</f>
        <v>85.806771242552543</v>
      </c>
      <c r="D33" s="78"/>
      <c r="E33" s="36" t="s">
        <v>86</v>
      </c>
      <c r="F33" s="35"/>
      <c r="G33" s="30"/>
    </row>
    <row r="34" spans="1:7" ht="16.5" customHeight="1">
      <c r="A34" s="33" t="s">
        <v>112</v>
      </c>
      <c r="B34" s="33" t="s">
        <v>88</v>
      </c>
      <c r="C34" s="20">
        <v>100</v>
      </c>
      <c r="D34" s="47"/>
      <c r="E34" s="36" t="s">
        <v>86</v>
      </c>
      <c r="F34" s="35"/>
      <c r="G34" s="30"/>
    </row>
    <row r="35" spans="1:7" ht="16.5">
      <c r="A35" s="33" t="s">
        <v>108</v>
      </c>
      <c r="B35" s="33" t="s">
        <v>44</v>
      </c>
      <c r="C35" s="81">
        <f>MAX(C8*C8/10,C8/3)</f>
        <v>1.0999999999999999</v>
      </c>
      <c r="D35" s="82"/>
      <c r="E35" s="36" t="s">
        <v>13</v>
      </c>
      <c r="F35" s="35"/>
      <c r="G35" s="30"/>
    </row>
    <row r="36" spans="1:7" ht="17.25" thickBot="1">
      <c r="A36" s="33" t="s">
        <v>109</v>
      </c>
      <c r="B36" s="33" t="s">
        <v>79</v>
      </c>
      <c r="C36" s="83">
        <v>1</v>
      </c>
      <c r="D36" s="84"/>
      <c r="E36" s="36" t="s">
        <v>13</v>
      </c>
      <c r="F36" s="35"/>
      <c r="G36" s="30"/>
    </row>
    <row r="37" spans="1:7" ht="17.25" thickBot="1">
      <c r="A37" s="69" t="s">
        <v>114</v>
      </c>
      <c r="B37" s="69"/>
      <c r="C37" s="70"/>
      <c r="D37" s="71"/>
      <c r="E37" s="71"/>
      <c r="F37" s="29"/>
      <c r="G37" s="30"/>
    </row>
    <row r="38" spans="1:7" ht="16.5">
      <c r="A38" s="33" t="s">
        <v>118</v>
      </c>
      <c r="B38" s="33" t="s">
        <v>46</v>
      </c>
      <c r="C38" s="92">
        <v>5</v>
      </c>
      <c r="D38" s="93"/>
      <c r="E38" s="48" t="s">
        <v>16</v>
      </c>
      <c r="F38" s="35"/>
      <c r="G38" s="30"/>
    </row>
    <row r="39" spans="1:7" ht="16.5">
      <c r="A39" s="33" t="s">
        <v>119</v>
      </c>
      <c r="B39" s="33" t="s">
        <v>45</v>
      </c>
      <c r="C39" s="81">
        <f>((C8+0.3)/2.5-1)*C38</f>
        <v>2.1999999999999997</v>
      </c>
      <c r="D39" s="82"/>
      <c r="E39" s="36" t="s">
        <v>13</v>
      </c>
      <c r="F39" s="35"/>
      <c r="G39" s="30"/>
    </row>
    <row r="40" spans="1:7" ht="17.25" thickBot="1">
      <c r="A40" s="33" t="s">
        <v>115</v>
      </c>
      <c r="B40" s="33" t="s">
        <v>76</v>
      </c>
      <c r="C40" s="104">
        <f>0.8*1000*C8*C34/((C38+C39)*C9)</f>
        <v>611.1111111111112</v>
      </c>
      <c r="D40" s="105"/>
      <c r="E40" s="46" t="s">
        <v>14</v>
      </c>
      <c r="F40" s="35"/>
      <c r="G40" s="30"/>
    </row>
    <row r="41" spans="1:7" ht="17.25" thickBot="1">
      <c r="A41" s="69" t="s">
        <v>116</v>
      </c>
      <c r="B41" s="69"/>
      <c r="C41" s="70"/>
      <c r="D41" s="71"/>
      <c r="E41" s="71"/>
      <c r="F41" s="29"/>
      <c r="G41" s="30"/>
    </row>
    <row r="42" spans="1:7" ht="16.5">
      <c r="A42" s="33" t="s">
        <v>120</v>
      </c>
      <c r="B42" s="33" t="s">
        <v>48</v>
      </c>
      <c r="C42" s="89">
        <f>1.414*C7</f>
        <v>374.71</v>
      </c>
      <c r="D42" s="90"/>
      <c r="E42" s="48" t="s">
        <v>0</v>
      </c>
      <c r="F42" s="35"/>
      <c r="G42" s="30"/>
    </row>
    <row r="43" spans="1:7" ht="17.25" thickBot="1">
      <c r="A43" s="49" t="s">
        <v>117</v>
      </c>
      <c r="B43" s="50" t="s">
        <v>49</v>
      </c>
      <c r="C43" s="51">
        <f>C26*SQRT(2*C9*(1.414*120-C8)/(3*C26*1.414*120))</f>
        <v>86.156756761480011</v>
      </c>
      <c r="D43" s="52">
        <f>D26*SQRT(2*C9*(1.414*230-C8)/(3*D26*1.414*230))</f>
        <v>86.565080743948513</v>
      </c>
      <c r="E43" s="53" t="s">
        <v>50</v>
      </c>
      <c r="F43" s="54"/>
      <c r="G43" s="55"/>
    </row>
    <row r="44" spans="1:7" ht="17.25" hidden="1" thickBot="1">
      <c r="A44" s="69" t="s">
        <v>51</v>
      </c>
      <c r="B44" s="69"/>
      <c r="C44" s="70"/>
      <c r="D44" s="71"/>
      <c r="E44" s="91"/>
      <c r="F44" s="29"/>
      <c r="G44" s="30"/>
    </row>
    <row r="45" spans="1:7" ht="16.5" hidden="1">
      <c r="A45" s="33" t="s">
        <v>66</v>
      </c>
      <c r="B45" s="33" t="s">
        <v>54</v>
      </c>
      <c r="C45" s="56">
        <f>30*C26*C26*0.000001*2*C8*C9/(3*1.414*120*C26)</f>
        <v>4.4168511048805507E-3</v>
      </c>
      <c r="D45" s="56">
        <f>30*D26*D26*0.000001*2*C8*C9/(3*1.414*230*D26)</f>
        <v>2.3044787749019208E-3</v>
      </c>
      <c r="E45" s="57" t="s">
        <v>64</v>
      </c>
      <c r="F45" s="58"/>
      <c r="G45" s="28"/>
    </row>
    <row r="46" spans="1:7" ht="16.5" hidden="1">
      <c r="A46" s="33" t="s">
        <v>67</v>
      </c>
      <c r="B46" s="33" t="s">
        <v>55</v>
      </c>
      <c r="C46" s="56">
        <f>0.5*1.414*120*C26*C27*50*0.001*0.001*0.001</f>
        <v>1.774026807303181E-2</v>
      </c>
      <c r="D46" s="56">
        <f>0.5*1.414*230*D26*D27*50*0.001*0.001*0.001</f>
        <v>3.3947086195454376E-2</v>
      </c>
      <c r="E46" s="59" t="s">
        <v>64</v>
      </c>
      <c r="F46" s="58"/>
      <c r="G46" s="28"/>
    </row>
    <row r="47" spans="1:7" ht="16.5" hidden="1">
      <c r="A47" s="33" t="s">
        <v>68</v>
      </c>
      <c r="B47" s="33" t="s">
        <v>56</v>
      </c>
      <c r="C47" s="56">
        <f>0.7*C43*0.001</f>
        <v>6.0309729733035999E-2</v>
      </c>
      <c r="D47" s="56">
        <f>0.7*D26*SQRT(2*C9*(1.414*230-C8)/(3*C26*1.414*230))*0.001</f>
        <v>6.0596013004139998E-2</v>
      </c>
      <c r="E47" s="59" t="s">
        <v>64</v>
      </c>
      <c r="F47" s="58"/>
      <c r="G47" s="28"/>
    </row>
    <row r="48" spans="1:7" ht="16.5" hidden="1">
      <c r="A48" s="33" t="s">
        <v>69</v>
      </c>
      <c r="B48" s="33" t="s">
        <v>57</v>
      </c>
      <c r="C48" s="56">
        <f>0.0001*5.5</f>
        <v>5.5000000000000003E-4</v>
      </c>
      <c r="D48" s="56">
        <f>0.0001*5.5</f>
        <v>5.5000000000000003E-4</v>
      </c>
      <c r="E48" s="59" t="s">
        <v>64</v>
      </c>
      <c r="F48" s="58"/>
      <c r="G48" s="28"/>
    </row>
    <row r="49" spans="1:7" ht="16.5" hidden="1">
      <c r="A49" s="33" t="s">
        <v>70</v>
      </c>
      <c r="B49" s="33" t="s">
        <v>58</v>
      </c>
      <c r="C49" s="56">
        <f>2.8*POWER(0.001*0.001*C26*C26*(1.414*120+0.7)*C27/(2*(1.414*120-C8)*(C8+0.7)),2)</f>
        <v>2.8740116924627555E-2</v>
      </c>
      <c r="D49" s="56">
        <f>2.8*POWER(0.001*0.001*D26*D26*(1.414*230+0.7)*D27/(2*(1.414*230-C8)*(C8+0.7)),2)</f>
        <v>2.8001687499516075E-2</v>
      </c>
      <c r="E49" s="59" t="s">
        <v>64</v>
      </c>
      <c r="F49" s="58"/>
      <c r="G49" s="28"/>
    </row>
    <row r="50" spans="1:7" ht="16.5" hidden="1">
      <c r="A50" s="33" t="s">
        <v>71</v>
      </c>
      <c r="B50" s="33" t="s">
        <v>59</v>
      </c>
      <c r="C50" s="56">
        <f>0.001*C8*C8/C36</f>
        <v>1.0889999999999999E-2</v>
      </c>
      <c r="D50" s="56">
        <f>0.001*C8*C8/C36</f>
        <v>1.0889999999999999E-2</v>
      </c>
      <c r="E50" s="59" t="s">
        <v>64</v>
      </c>
      <c r="F50" s="58"/>
      <c r="G50" s="28"/>
    </row>
    <row r="51" spans="1:7" ht="16.5" hidden="1">
      <c r="A51" s="33" t="s">
        <v>60</v>
      </c>
      <c r="B51" s="33" t="s">
        <v>61</v>
      </c>
      <c r="C51" s="56">
        <f>POWER(0.001*C8*C9/(0.01*C11*1.414*120),2)*15</f>
        <v>5.6735884237039598E-5</v>
      </c>
      <c r="D51" s="56" t="e">
        <f>POWER(0.001*C8*C9/(0.01*D11*1.414*230),2)*15</f>
        <v>#DIV/0!</v>
      </c>
      <c r="E51" s="59" t="s">
        <v>64</v>
      </c>
      <c r="F51" s="58"/>
      <c r="G51" s="28"/>
    </row>
    <row r="52" spans="1:7" ht="16.5" hidden="1">
      <c r="A52" s="33" t="s">
        <v>62</v>
      </c>
      <c r="B52" s="33" t="s">
        <v>63</v>
      </c>
      <c r="C52" s="56">
        <f>POWER(3.3*0.01,2)/C32</f>
        <v>7.2600000000000008E-3</v>
      </c>
      <c r="D52" s="56">
        <f>POWER(3.3*0.01,2)/C32</f>
        <v>7.2600000000000008E-3</v>
      </c>
      <c r="E52" s="59" t="s">
        <v>64</v>
      </c>
      <c r="F52" s="58"/>
      <c r="G52" s="28"/>
    </row>
    <row r="53" spans="1:7" ht="16.5" hidden="1">
      <c r="A53" s="33" t="s">
        <v>72</v>
      </c>
      <c r="B53" s="33" t="s">
        <v>73</v>
      </c>
      <c r="C53" s="56">
        <f>SUM(C45:C52)</f>
        <v>0.12996370171981292</v>
      </c>
      <c r="D53" s="56" t="e">
        <f>SUM(D45:D52)</f>
        <v>#DIV/0!</v>
      </c>
      <c r="E53" s="59" t="s">
        <v>64</v>
      </c>
      <c r="F53" s="58"/>
      <c r="G53" s="28"/>
    </row>
    <row r="54" spans="1:7" ht="17.25" hidden="1" thickBot="1">
      <c r="A54" s="60" t="s">
        <v>74</v>
      </c>
      <c r="B54" s="60" t="s">
        <v>75</v>
      </c>
      <c r="C54" s="61">
        <f>100*C8*C9*0.001/(C8*C9*0.001+C53)</f>
        <v>60.372534814586295</v>
      </c>
      <c r="D54" s="61" t="e">
        <f>100*C8*C9*0.001/(C8*C9*0.001+D53)</f>
        <v>#DIV/0!</v>
      </c>
      <c r="E54" s="62" t="s">
        <v>65</v>
      </c>
      <c r="F54" s="63"/>
      <c r="G54" s="64"/>
    </row>
    <row r="57" spans="1:7">
      <c r="C57" s="24"/>
      <c r="D57" s="24"/>
    </row>
    <row r="58" spans="1:7">
      <c r="C58" s="24"/>
      <c r="D58" s="24"/>
    </row>
    <row r="59" spans="1:7">
      <c r="C59" s="24"/>
      <c r="D59" s="24"/>
    </row>
    <row r="60" spans="1:7">
      <c r="C60" s="24"/>
      <c r="D60" s="24"/>
    </row>
    <row r="61" spans="1:7">
      <c r="C61" s="24"/>
      <c r="D61" s="24"/>
    </row>
  </sheetData>
  <sheetProtection sheet="1" objects="1" scenarios="1"/>
  <mergeCells count="30">
    <mergeCell ref="C42:D42"/>
    <mergeCell ref="A44:E44"/>
    <mergeCell ref="C6:D6"/>
    <mergeCell ref="C7:D7"/>
    <mergeCell ref="C8:D8"/>
    <mergeCell ref="C9:D9"/>
    <mergeCell ref="C15:D15"/>
    <mergeCell ref="C16:D16"/>
    <mergeCell ref="C17:D17"/>
    <mergeCell ref="C19:D19"/>
    <mergeCell ref="C20:D20"/>
    <mergeCell ref="A41:E41"/>
    <mergeCell ref="C38:D38"/>
    <mergeCell ref="C39:D39"/>
    <mergeCell ref="C40:D40"/>
    <mergeCell ref="A3:G3"/>
    <mergeCell ref="A1:G1"/>
    <mergeCell ref="A31:E31"/>
    <mergeCell ref="A37:E37"/>
    <mergeCell ref="A2:G2"/>
    <mergeCell ref="A5:E5"/>
    <mergeCell ref="A14:E14"/>
    <mergeCell ref="A18:E18"/>
    <mergeCell ref="A22:E22"/>
    <mergeCell ref="C33:D33"/>
    <mergeCell ref="C32:D32"/>
    <mergeCell ref="C35:D35"/>
    <mergeCell ref="C36:D36"/>
    <mergeCell ref="C21:D21"/>
    <mergeCell ref="C4:D4"/>
  </mergeCells>
  <phoneticPr fontId="1" type="noConversion"/>
  <dataValidations count="2">
    <dataValidation type="custom" errorStyle="warning" allowBlank="1" showInputMessage="1" showErrorMessage="1" error="请检查输出纹波值和输出电容ESR值" sqref="D34">
      <formula1>"C33&lt;0"</formula1>
    </dataValidation>
    <dataValidation type="custom" errorStyle="warning" allowBlank="1" showInputMessage="1" error="请检查输出纹波值和输出电容ESR值" sqref="C34">
      <formula1>"C33&lt;0"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22" workbookViewId="0">
      <pane xSplit="1" topLeftCell="B1" activePane="topRight" state="frozen"/>
      <selection pane="topRight" activeCell="C55" sqref="C55"/>
    </sheetView>
  </sheetViews>
  <sheetFormatPr defaultRowHeight="13.5"/>
  <cols>
    <col min="2" max="2" width="20.75" bestFit="1" customWidth="1"/>
    <col min="3" max="3" width="20.25" bestFit="1" customWidth="1"/>
    <col min="4" max="4" width="19.375" bestFit="1" customWidth="1"/>
    <col min="5" max="6" width="12.75" bestFit="1" customWidth="1"/>
    <col min="7" max="9" width="12.75" customWidth="1"/>
    <col min="10" max="10" width="20.75" bestFit="1" customWidth="1"/>
    <col min="11" max="11" width="20.25" bestFit="1" customWidth="1"/>
    <col min="12" max="12" width="19.375" bestFit="1" customWidth="1"/>
    <col min="13" max="14" width="12.75" bestFit="1" customWidth="1"/>
  </cols>
  <sheetData>
    <row r="1" spans="1:17" ht="14.25" thickBo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7" ht="17.25" thickBot="1">
      <c r="A2" s="7"/>
      <c r="B2" s="108" t="s">
        <v>21</v>
      </c>
      <c r="C2" s="109"/>
      <c r="D2" s="109"/>
      <c r="E2" s="109"/>
      <c r="F2" s="109"/>
      <c r="G2" s="109"/>
      <c r="H2" s="109"/>
      <c r="I2" s="106"/>
      <c r="J2" s="106" t="s">
        <v>23</v>
      </c>
      <c r="K2" s="107"/>
      <c r="L2" s="107"/>
      <c r="M2" s="107"/>
      <c r="N2" s="107"/>
      <c r="O2" s="107"/>
      <c r="P2" s="107"/>
      <c r="Q2" s="107"/>
    </row>
    <row r="3" spans="1:17" ht="16.5">
      <c r="A3" s="17" t="s">
        <v>22</v>
      </c>
      <c r="B3" s="6" t="s">
        <v>17</v>
      </c>
      <c r="C3" s="4" t="s">
        <v>18</v>
      </c>
      <c r="D3" s="4" t="s">
        <v>20</v>
      </c>
      <c r="E3" s="4" t="s">
        <v>25</v>
      </c>
      <c r="F3" s="1" t="s">
        <v>24</v>
      </c>
      <c r="G3" s="1" t="s">
        <v>28</v>
      </c>
      <c r="H3" s="11" t="s">
        <v>29</v>
      </c>
      <c r="I3" s="9" t="s">
        <v>47</v>
      </c>
      <c r="J3" s="6" t="s">
        <v>17</v>
      </c>
      <c r="K3" s="4" t="s">
        <v>18</v>
      </c>
      <c r="L3" s="4" t="s">
        <v>20</v>
      </c>
      <c r="M3" s="4" t="s">
        <v>26</v>
      </c>
      <c r="N3" s="4" t="s">
        <v>27</v>
      </c>
      <c r="O3" s="4" t="s">
        <v>28</v>
      </c>
      <c r="P3" s="5" t="s">
        <v>29</v>
      </c>
      <c r="Q3" s="8" t="s">
        <v>30</v>
      </c>
    </row>
    <row r="4" spans="1:17" ht="16.5">
      <c r="A4" s="12">
        <v>5</v>
      </c>
      <c r="B4" s="2">
        <f>0.01*'AL17050'!C11*'AL17050'!C20*(1.414*120+0.7)/(2*(1.414*120-'AL17050'!C8)*A4*('AL17050'!C8+0.7))</f>
        <v>1.5360620266858997E-2</v>
      </c>
      <c r="C4" s="1">
        <f>1-'AL17050'!C20/(1.414*120-'AL17050'!C8)</f>
        <v>0.99398966221901675</v>
      </c>
      <c r="D4" s="1">
        <f>-('AL17050'!C15+'AL17050'!C17)</f>
        <v>-234</v>
      </c>
      <c r="E4" s="1">
        <f>(-C4+SQRT(C4*C4-4*B4*D4))/(2*B4)</f>
        <v>95.240382053401333</v>
      </c>
      <c r="F4" s="1">
        <f>2*1000*(1.414*120-'AL17050'!C8)*A4*('AL17050'!C8+0.7)/(0.01*'AL17050'!C11*'AL17050'!C20*E4*E4*(1.414*120+0.7))</f>
        <v>7.1770998648673272</v>
      </c>
      <c r="G4" s="1">
        <f>'AL17050'!C20*E4/(1.414*120-'AL17050'!C8)</f>
        <v>0.57242686653084118</v>
      </c>
      <c r="H4" s="1">
        <f>1000/F4-G4</f>
        <v>138.75961794659864</v>
      </c>
      <c r="I4" s="10" t="str">
        <f>IF(H4&lt;'AL17050'!C17,"BAD","GOOD")</f>
        <v>GOOD</v>
      </c>
      <c r="J4" s="2">
        <f>0.01*0.92*'AL17050'!C11*'AL17050'!C20*(1.414*230+0.7)/(2*(1.414*230-'AL17050'!C8)*A4*('AL17050'!C8+0.7))</f>
        <v>1.3971471172962227E-2</v>
      </c>
      <c r="K4" s="1">
        <f>1-'AL17050'!C20/(1.414*230-'AL17050'!C8)</f>
        <v>0.99689363817097421</v>
      </c>
      <c r="L4" s="1">
        <f>-('AL17050'!C15+'AL17050'!C17)</f>
        <v>-234</v>
      </c>
      <c r="M4" s="1">
        <f>(-K4+SQRT(K4*K4-4*J4*L4))/(2*J4)</f>
        <v>98.567001709499806</v>
      </c>
      <c r="N4" s="1">
        <f>2*1000*(1.414*230-'AL17050'!C8)*A4*('AL17050'!C8+0.7)/(0.01*0.95*'AL17050'!C11*'AL17050'!C20*M4*M4*(1.414*230+0.7))</f>
        <v>7.1344252321581418</v>
      </c>
      <c r="O4" s="1">
        <f>'AL17050'!C20*M4/(1.414*230-'AL17050'!C8)</f>
        <v>0.30618477171191544</v>
      </c>
      <c r="P4" s="1">
        <f>1000/N4-O4</f>
        <v>139.85927599905057</v>
      </c>
      <c r="Q4" s="3" t="str">
        <f>IF(P4&lt;'AL17050'!C17,"BAD","GOOD")</f>
        <v>GOOD</v>
      </c>
    </row>
    <row r="5" spans="1:17" ht="16.5">
      <c r="A5" s="12">
        <v>10</v>
      </c>
      <c r="B5" s="2">
        <f>0.01*'AL17050'!C11*'AL17050'!C20*(1.414*120+0.7)/(2*(1.414*120-'AL17050'!C8)*A5*('AL17050'!C8+0.7))</f>
        <v>7.6803101334294984E-3</v>
      </c>
      <c r="C5" s="1">
        <f>1-'AL17050'!C20/(1.414*120-'AL17050'!C8)</f>
        <v>0.99398966221901675</v>
      </c>
      <c r="D5" s="1">
        <f>-('AL17050'!C15+'AL17050'!C17)</f>
        <v>-234</v>
      </c>
      <c r="E5" s="1">
        <f t="shared" ref="E5:E13" si="0">(-C5+SQRT(C5*C5-4*B5*D5))/(2*B5)</f>
        <v>121.44810941287443</v>
      </c>
      <c r="F5" s="1">
        <f>2*1000*(1.414*120-'AL17050'!C8)*A5*('AL17050'!C8+0.7)/(0.01*'AL17050'!C11*'AL17050'!C20*E5*E5*(1.414*120+0.7))</f>
        <v>8.8275406399308007</v>
      </c>
      <c r="G5" s="1">
        <f>'AL17050'!C20*E5/(1.414*120-'AL17050'!C8)</f>
        <v>0.72994416043319177</v>
      </c>
      <c r="H5" s="1">
        <f t="shared" ref="H5:H23" si="1">1000/F5-G5</f>
        <v>112.55189058712556</v>
      </c>
      <c r="I5" s="10" t="str">
        <f>IF(H5&lt;'AL17050'!C17,"BAD","GOOD")</f>
        <v>GOOD</v>
      </c>
      <c r="J5" s="2">
        <f>0.01*0.92*'AL17050'!C11*'AL17050'!C20*(1.414*230+0.7)/(2*(1.414*230-'AL17050'!C8)*A5*('AL17050'!C8+0.7))</f>
        <v>6.9857355864811135E-3</v>
      </c>
      <c r="K5" s="1">
        <f>1-'AL17050'!C20/(1.414*230-'AL17050'!C8)</f>
        <v>0.99689363817097421</v>
      </c>
      <c r="L5" s="1">
        <f>-('AL17050'!C15+'AL17050'!C17)</f>
        <v>-234</v>
      </c>
      <c r="M5" s="1">
        <f t="shared" ref="M5:M13" si="2">(-K5+SQRT(K5*K5-4*J5*L5))/(2*J5)</f>
        <v>125.08607245517385</v>
      </c>
      <c r="N5" s="1">
        <f>2*1000*(1.414*230-'AL17050'!C8)*A5*('AL17050'!C8+0.7)/(0.01*0.95*'AL17050'!C11*'AL17050'!C20*M5*M5*(1.414*230+0.7))</f>
        <v>8.860009056894997</v>
      </c>
      <c r="O5" s="1">
        <f>'AL17050'!C20*M5/(1.414*230-'AL17050'!C8)</f>
        <v>0.38856260081751326</v>
      </c>
      <c r="P5" s="1">
        <f t="shared" ref="P5:P23" si="3">1000/N5-O5</f>
        <v>112.47813918001017</v>
      </c>
      <c r="Q5" s="3" t="str">
        <f>IF(P5&lt;'AL17050'!C17,"BAD","GOOD")</f>
        <v>GOOD</v>
      </c>
    </row>
    <row r="6" spans="1:17" ht="16.5">
      <c r="A6" s="12">
        <v>15</v>
      </c>
      <c r="B6" s="2">
        <f>0.01*'AL17050'!C11*'AL17050'!C20*(1.414*120+0.7)/(2*(1.414*120-'AL17050'!C8)*A6*('AL17050'!C8+0.7))</f>
        <v>5.1202067556196662E-3</v>
      </c>
      <c r="C6" s="1">
        <f>1-'AL17050'!C20/(1.414*120-'AL17050'!C8)</f>
        <v>0.99398966221901675</v>
      </c>
      <c r="D6" s="1">
        <f>-('AL17050'!C15+'AL17050'!C17)</f>
        <v>-234</v>
      </c>
      <c r="E6" s="1">
        <f t="shared" si="0"/>
        <v>137.71742726932371</v>
      </c>
      <c r="F6" s="1">
        <f>2*1000*(1.414*120-'AL17050'!C8)*A6*('AL17050'!C8+0.7)/(0.01*'AL17050'!C11*'AL17050'!C20*E6*E6*(1.414*120+0.7))</f>
        <v>10.297568742320871</v>
      </c>
      <c r="G6" s="1">
        <f>'AL17050'!C20*E6/(1.414*120-'AL17050'!C8)</f>
        <v>0.82772825621663504</v>
      </c>
      <c r="H6" s="1">
        <f t="shared" si="1"/>
        <v>96.282572730676264</v>
      </c>
      <c r="I6" s="10" t="str">
        <f>IF(H6&lt;'AL17050'!C17,"BAD","GOOD")</f>
        <v>GOOD</v>
      </c>
      <c r="J6" s="2">
        <f>0.01*0.92*'AL17050'!C11*'AL17050'!C20*(1.414*230+0.7)/(2*(1.414*230-'AL17050'!C8)*A6*('AL17050'!C8+0.7))</f>
        <v>4.6571570576540763E-3</v>
      </c>
      <c r="K6" s="1">
        <f>1-'AL17050'!C20/(1.414*230-'AL17050'!C8)</f>
        <v>0.99689363817097421</v>
      </c>
      <c r="L6" s="1">
        <f>-('AL17050'!C15+'AL17050'!C17)</f>
        <v>-234</v>
      </c>
      <c r="M6" s="1">
        <f t="shared" si="2"/>
        <v>141.36725177264526</v>
      </c>
      <c r="N6" s="1">
        <f>2*1000*(1.414*230-'AL17050'!C8)*A6*('AL17050'!C8+0.7)/(0.01*0.95*'AL17050'!C11*'AL17050'!C20*M6*M6*(1.414*230+0.7))</f>
        <v>10.405086794792719</v>
      </c>
      <c r="O6" s="1">
        <f>'AL17050'!C20*M6/(1.414*230-'AL17050'!C8)</f>
        <v>0.43913783478083152</v>
      </c>
      <c r="P6" s="1">
        <f t="shared" si="3"/>
        <v>95.667701033728676</v>
      </c>
      <c r="Q6" s="3" t="str">
        <f>IF(P6&lt;'AL17050'!C17,"BAD","GOOD")</f>
        <v>GOOD</v>
      </c>
    </row>
    <row r="7" spans="1:17" ht="16.5">
      <c r="A7" s="12">
        <v>20</v>
      </c>
      <c r="B7" s="2">
        <f>0.01*'AL17050'!C11*'AL17050'!C20*(1.414*120+0.7)/(2*(1.414*120-'AL17050'!C8)*A7*('AL17050'!C8+0.7))</f>
        <v>3.8401550667147492E-3</v>
      </c>
      <c r="C7" s="1">
        <f>1-'AL17050'!C20/(1.414*120-'AL17050'!C8)</f>
        <v>0.99398966221901675</v>
      </c>
      <c r="D7" s="1">
        <f>-('AL17050'!C15+'AL17050'!C17)</f>
        <v>-234</v>
      </c>
      <c r="E7" s="1">
        <f t="shared" si="0"/>
        <v>149.29925505007299</v>
      </c>
      <c r="F7" s="1">
        <f>2*1000*(1.414*120-'AL17050'!C8)*A7*('AL17050'!C8+0.7)/(0.01*'AL17050'!C11*'AL17050'!C20*E7*E7*(1.414*120+0.7))</f>
        <v>11.682504495434154</v>
      </c>
      <c r="G7" s="1">
        <f>'AL17050'!C20*E7/(1.414*120-'AL17050'!C8)</f>
        <v>0.89733895330011426</v>
      </c>
      <c r="H7" s="1">
        <f t="shared" si="1"/>
        <v>84.700744949926943</v>
      </c>
      <c r="I7" s="10" t="str">
        <f>IF(H7&lt;'AL17050'!C17,"BAD","GOOD")</f>
        <v>GOOD</v>
      </c>
      <c r="J7" s="2">
        <f>0.01*0.92*'AL17050'!C11*'AL17050'!C20*(1.414*230+0.7)/(2*(1.414*230-'AL17050'!C8)*A7*('AL17050'!C8+0.7))</f>
        <v>3.4928677932405568E-3</v>
      </c>
      <c r="K7" s="1">
        <f>1-'AL17050'!C20/(1.414*230-'AL17050'!C8)</f>
        <v>0.99689363817097421</v>
      </c>
      <c r="L7" s="1">
        <f>-('AL17050'!C15+'AL17050'!C17)</f>
        <v>-234</v>
      </c>
      <c r="M7" s="1">
        <f t="shared" si="2"/>
        <v>152.85993330530715</v>
      </c>
      <c r="N7" s="1">
        <f>2*1000*(1.414*230-'AL17050'!C8)*A7*('AL17050'!C8+0.7)/(0.01*0.95*'AL17050'!C11*'AL17050'!C20*M7*M7*(1.414*230+0.7))</f>
        <v>11.865737675555314</v>
      </c>
      <c r="O7" s="1">
        <f>'AL17050'!C20*M7/(1.414*230-'AL17050'!C8)</f>
        <v>0.47483826200704266</v>
      </c>
      <c r="P7" s="1">
        <f t="shared" si="3"/>
        <v>83.801422291106888</v>
      </c>
      <c r="Q7" s="3" t="str">
        <f>IF(P7&lt;'AL17050'!C17,"BAD","GOOD")</f>
        <v>GOOD</v>
      </c>
    </row>
    <row r="8" spans="1:17" ht="16.5">
      <c r="A8" s="12">
        <v>25</v>
      </c>
      <c r="B8" s="2">
        <f>0.01*'AL17050'!C11*'AL17050'!C20*(1.414*120+0.7)/(2*(1.414*120-'AL17050'!C8)*A8*('AL17050'!C8+0.7))</f>
        <v>3.0721240533717995E-3</v>
      </c>
      <c r="C8" s="1">
        <f>1-'AL17050'!C20/(1.414*120-'AL17050'!C8)</f>
        <v>0.99398966221901675</v>
      </c>
      <c r="D8" s="1">
        <f>-('AL17050'!C15+'AL17050'!C17)</f>
        <v>-234</v>
      </c>
      <c r="E8" s="1">
        <f t="shared" si="0"/>
        <v>158.13084202529024</v>
      </c>
      <c r="F8" s="1">
        <f>2*1000*(1.414*120-'AL17050'!C8)*A8*('AL17050'!C8+0.7)/(0.01*'AL17050'!C11*'AL17050'!C20*E8*E8*(1.414*120+0.7))</f>
        <v>13.017514926586149</v>
      </c>
      <c r="G8" s="1">
        <f>'AL17050'!C20*E8/(1.414*120-'AL17050'!C8)</f>
        <v>0.95041977416330248</v>
      </c>
      <c r="H8" s="1">
        <f t="shared" si="1"/>
        <v>75.869157974709736</v>
      </c>
      <c r="I8" s="10" t="str">
        <f>IF(H8&lt;'AL17050'!C17,"BAD","GOOD")</f>
        <v>GOOD</v>
      </c>
      <c r="J8" s="2">
        <f>0.01*0.92*'AL17050'!C11*'AL17050'!C20*(1.414*230+0.7)/(2*(1.414*230-'AL17050'!C8)*A8*('AL17050'!C8+0.7))</f>
        <v>2.7942942345924454E-3</v>
      </c>
      <c r="K8" s="1">
        <f>1-'AL17050'!C20/(1.414*230-'AL17050'!C8)</f>
        <v>0.99689363817097421</v>
      </c>
      <c r="L8" s="1">
        <f>-('AL17050'!C15+'AL17050'!C17)</f>
        <v>-234</v>
      </c>
      <c r="M8" s="1">
        <f t="shared" si="2"/>
        <v>161.56327379254984</v>
      </c>
      <c r="N8" s="1">
        <f>2*1000*(1.414*230-'AL17050'!C8)*A8*('AL17050'!C8+0.7)/(0.01*0.95*'AL17050'!C11*'AL17050'!C20*M8*M8*(1.414*230+0.7))</f>
        <v>13.277209187646204</v>
      </c>
      <c r="O8" s="1">
        <f>'AL17050'!C20*M8/(1.414*230-'AL17050'!C8)</f>
        <v>0.50187398668162853</v>
      </c>
      <c r="P8" s="1">
        <f t="shared" si="3"/>
        <v>74.815158822476135</v>
      </c>
      <c r="Q8" s="3" t="str">
        <f>IF(P8&lt;'AL17050'!C17,"BAD","GOOD")</f>
        <v>GOOD</v>
      </c>
    </row>
    <row r="9" spans="1:17" ht="16.5">
      <c r="A9" s="12">
        <v>30</v>
      </c>
      <c r="B9" s="2">
        <f>0.01*'AL17050'!C11*'AL17050'!C20*(1.414*120+0.7)/(2*(1.414*120-'AL17050'!C8)*A9*('AL17050'!C8+0.7))</f>
        <v>2.5601033778098331E-3</v>
      </c>
      <c r="C9" s="1">
        <f>1-'AL17050'!C20/(1.414*120-'AL17050'!C8)</f>
        <v>0.99398966221901675</v>
      </c>
      <c r="D9" s="1">
        <f>-('AL17050'!C15+'AL17050'!C17)</f>
        <v>-234</v>
      </c>
      <c r="E9" s="1">
        <f t="shared" si="0"/>
        <v>165.15924655413787</v>
      </c>
      <c r="F9" s="1">
        <f>2*1000*(1.414*120-'AL17050'!C8)*A9*('AL17050'!C8+0.7)/(0.01*'AL17050'!C11*'AL17050'!C20*E9*E9*(1.414*120+0.7))</f>
        <v>14.319792055254656</v>
      </c>
      <c r="G9" s="1">
        <f>'AL17050'!C20*E9/(1.414*120-'AL17050'!C8)</f>
        <v>0.99266285944306942</v>
      </c>
      <c r="H9" s="1">
        <f t="shared" si="1"/>
        <v>68.840753445862106</v>
      </c>
      <c r="I9" s="10" t="str">
        <f>IF(H9&lt;'AL17050'!C17,"BAD","GOOD")</f>
        <v>GOOD</v>
      </c>
      <c r="J9" s="2">
        <f>0.01*0.92*'AL17050'!C11*'AL17050'!C20*(1.414*230+0.7)/(2*(1.414*230-'AL17050'!C8)*A9*('AL17050'!C8+0.7))</f>
        <v>2.3285785288270381E-3</v>
      </c>
      <c r="K9" s="1">
        <f>1-'AL17050'!C20/(1.414*230-'AL17050'!C8)</f>
        <v>0.99689363817097421</v>
      </c>
      <c r="L9" s="1">
        <f>-('AL17050'!C15+'AL17050'!C17)</f>
        <v>-234</v>
      </c>
      <c r="M9" s="1">
        <f t="shared" si="2"/>
        <v>168.44939016272249</v>
      </c>
      <c r="N9" s="1">
        <f>2*1000*(1.414*230-'AL17050'!C8)*A9*('AL17050'!C8+0.7)/(0.01*0.95*'AL17050'!C11*'AL17050'!C20*M9*M9*(1.414*230+0.7))</f>
        <v>14.656640897734654</v>
      </c>
      <c r="O9" s="1">
        <f>'AL17050'!C20*M9/(1.414*230-'AL17050'!C8)</f>
        <v>0.52326475572416287</v>
      </c>
      <c r="P9" s="1">
        <f t="shared" si="3"/>
        <v>67.705192704440606</v>
      </c>
      <c r="Q9" s="3" t="str">
        <f>IF(P9&lt;'AL17050'!C17,"BAD","GOOD")</f>
        <v>GOOD</v>
      </c>
    </row>
    <row r="10" spans="1:17" ht="16.5">
      <c r="A10" s="12">
        <v>35</v>
      </c>
      <c r="B10" s="2">
        <f>0.01*'AL17050'!C11*'AL17050'!C20*(1.414*120+0.7)/(2*(1.414*120-'AL17050'!C8)*A10*('AL17050'!C8+0.7))</f>
        <v>2.1943743238369996E-3</v>
      </c>
      <c r="C10" s="1">
        <f>1-'AL17050'!C20/(1.414*120-'AL17050'!C8)</f>
        <v>0.99398966221901675</v>
      </c>
      <c r="D10" s="1">
        <f>-('AL17050'!C15+'AL17050'!C17)</f>
        <v>-234</v>
      </c>
      <c r="E10" s="1">
        <f t="shared" si="0"/>
        <v>170.92092388760287</v>
      </c>
      <c r="F10" s="1">
        <f>2*1000*(1.414*120-'AL17050'!C8)*A10*('AL17050'!C8+0.7)/(0.01*'AL17050'!C11*'AL17050'!C20*E10*E10*(1.414*120+0.7))</f>
        <v>15.599074192742973</v>
      </c>
      <c r="G10" s="1">
        <f>'AL17050'!C20*E10/(1.414*120-'AL17050'!C8)</f>
        <v>1.0272924864022293</v>
      </c>
      <c r="H10" s="1">
        <f t="shared" si="1"/>
        <v>63.079076112397146</v>
      </c>
      <c r="I10" s="10" t="str">
        <f>IF(H10&lt;'AL17050'!C17,"BAD","GOOD")</f>
        <v>GOOD</v>
      </c>
      <c r="J10" s="2">
        <f>0.01*0.92*'AL17050'!C11*'AL17050'!C20*(1.414*230+0.7)/(2*(1.414*230-'AL17050'!C8)*A10*('AL17050'!C8+0.7))</f>
        <v>1.9959244532803183E-3</v>
      </c>
      <c r="K10" s="1">
        <f>1-'AL17050'!C20/(1.414*230-'AL17050'!C8)</f>
        <v>0.99689363817097421</v>
      </c>
      <c r="L10" s="1">
        <f>-('AL17050'!C15+'AL17050'!C17)</f>
        <v>-234</v>
      </c>
      <c r="M10" s="1">
        <f t="shared" si="2"/>
        <v>174.0661490439781</v>
      </c>
      <c r="N10" s="1">
        <f>2*1000*(1.414*230-'AL17050'!C8)*A10*('AL17050'!C8+0.7)/(0.01*0.95*'AL17050'!C11*'AL17050'!C20*M10*M10*(1.414*230+0.7))</f>
        <v>16.013692339900636</v>
      </c>
      <c r="O10" s="1">
        <f>'AL17050'!C20*M10/(1.414*230-'AL17050'!C8)</f>
        <v>0.54071244111573724</v>
      </c>
      <c r="P10" s="1">
        <f t="shared" si="3"/>
        <v>61.905847588537291</v>
      </c>
      <c r="Q10" s="3" t="str">
        <f>IF(P10&lt;'AL17050'!C17,"BAD","GOOD")</f>
        <v>GOOD</v>
      </c>
    </row>
    <row r="11" spans="1:17" ht="16.5">
      <c r="A11" s="12">
        <v>40</v>
      </c>
      <c r="B11" s="2">
        <f>0.01*'AL17050'!C11*'AL17050'!C20*(1.414*120+0.7)/(2*(1.414*120-'AL17050'!C8)*A11*('AL17050'!C8+0.7))</f>
        <v>1.9200775333573746E-3</v>
      </c>
      <c r="C11" s="1">
        <f>1-'AL17050'!C20/(1.414*120-'AL17050'!C8)</f>
        <v>0.99398966221901675</v>
      </c>
      <c r="D11" s="1">
        <f>-('AL17050'!C15+'AL17050'!C17)</f>
        <v>-234</v>
      </c>
      <c r="E11" s="1">
        <f t="shared" si="0"/>
        <v>175.74930613383336</v>
      </c>
      <c r="F11" s="1">
        <f>2*1000*(1.414*120-'AL17050'!C8)*A11*('AL17050'!C8+0.7)/(0.01*'AL17050'!C11*'AL17050'!C20*E11*E11*(1.414*120+0.7))</f>
        <v>16.861414156432801</v>
      </c>
      <c r="G11" s="1">
        <f>'AL17050'!C20*E11/(1.414*120-'AL17050'!C8)</f>
        <v>1.0563126946377774</v>
      </c>
      <c r="H11" s="1">
        <f t="shared" si="1"/>
        <v>58.250693866166607</v>
      </c>
      <c r="I11" s="10" t="str">
        <f>IF(H11&lt;'AL17050'!C17,"BAD","GOOD")</f>
        <v>GOOD</v>
      </c>
      <c r="J11" s="2">
        <f>0.01*0.92*'AL17050'!C11*'AL17050'!C20*(1.414*230+0.7)/(2*(1.414*230-'AL17050'!C8)*A11*('AL17050'!C8+0.7))</f>
        <v>1.7464338966202784E-3</v>
      </c>
      <c r="K11" s="1">
        <f>1-'AL17050'!C20/(1.414*230-'AL17050'!C8)</f>
        <v>0.99689363817097421</v>
      </c>
      <c r="L11" s="1">
        <f>-('AL17050'!C15+'AL17050'!C17)</f>
        <v>-234</v>
      </c>
      <c r="M11" s="1">
        <f t="shared" si="2"/>
        <v>178.75244896331458</v>
      </c>
      <c r="N11" s="1">
        <f>2*1000*(1.414*230-'AL17050'!C8)*A11*('AL17050'!C8+0.7)/(0.01*0.95*'AL17050'!C11*'AL17050'!C20*M11*M11*(1.414*230+0.7))</f>
        <v>17.354338694421546</v>
      </c>
      <c r="O11" s="1">
        <f>'AL17050'!C20*M11/(1.414*230-'AL17050'!C8)</f>
        <v>0.55526978430453089</v>
      </c>
      <c r="P11" s="1">
        <f t="shared" si="3"/>
        <v>57.067208237369918</v>
      </c>
      <c r="Q11" s="3" t="str">
        <f>IF(P11&lt;'AL17050'!C17,"BAD","GOOD")</f>
        <v>GOOD</v>
      </c>
    </row>
    <row r="12" spans="1:17" ht="16.5">
      <c r="A12" s="12">
        <v>45</v>
      </c>
      <c r="B12" s="2">
        <f>0.01*'AL17050'!C11*'AL17050'!C20*(1.414*120+0.7)/(2*(1.414*120-'AL17050'!C8)*A12*('AL17050'!C8+0.7))</f>
        <v>1.7067355852065553E-3</v>
      </c>
      <c r="C12" s="1">
        <f>1-'AL17050'!C20/(1.414*120-'AL17050'!C8)</f>
        <v>0.99398966221901675</v>
      </c>
      <c r="D12" s="1">
        <f>-('AL17050'!C15+'AL17050'!C17)</f>
        <v>-234</v>
      </c>
      <c r="E12" s="1">
        <f t="shared" si="0"/>
        <v>179.86545566494584</v>
      </c>
      <c r="F12" s="1">
        <f>2*1000*(1.414*120-'AL17050'!C8)*A12*('AL17050'!C8+0.7)/(0.01*'AL17050'!C11*'AL17050'!C20*E12*E12*(1.414*120+0.7))</f>
        <v>18.110824907690709</v>
      </c>
      <c r="G12" s="1">
        <f>'AL17050'!C20*E12/(1.414*120-'AL17050'!C8)</f>
        <v>1.0810521436767992</v>
      </c>
      <c r="H12" s="1">
        <f t="shared" si="1"/>
        <v>54.134544335054152</v>
      </c>
      <c r="I12" s="10" t="str">
        <f>IF(H12&lt;'AL17050'!C17,"BAD","GOOD")</f>
        <v>GOOD</v>
      </c>
      <c r="J12" s="2">
        <f>0.01*0.92*'AL17050'!C11*'AL17050'!C20*(1.414*230+0.7)/(2*(1.414*230-'AL17050'!C8)*A12*('AL17050'!C8+0.7))</f>
        <v>1.552385685884692E-3</v>
      </c>
      <c r="K12" s="1">
        <f>1-'AL17050'!C20/(1.414*230-'AL17050'!C8)</f>
        <v>0.99689363817097421</v>
      </c>
      <c r="L12" s="1">
        <f>-('AL17050'!C15+'AL17050'!C17)</f>
        <v>-234</v>
      </c>
      <c r="M12" s="1">
        <f t="shared" si="2"/>
        <v>182.73196572365742</v>
      </c>
      <c r="N12" s="1">
        <f>2*1000*(1.414*230-'AL17050'!C8)*A12*('AL17050'!C8+0.7)/(0.01*0.95*'AL17050'!C11*'AL17050'!C20*M12*M12*(1.414*230+0.7))</f>
        <v>18.68252362920887</v>
      </c>
      <c r="O12" s="1">
        <f>'AL17050'!C20*M12/(1.414*230-'AL17050'!C8)</f>
        <v>0.5676316032668286</v>
      </c>
      <c r="P12" s="1">
        <f t="shared" si="3"/>
        <v>52.958327728938556</v>
      </c>
      <c r="Q12" s="3" t="str">
        <f>IF(P12&lt;'AL17050'!C17,"BAD","GOOD")</f>
        <v>GOOD</v>
      </c>
    </row>
    <row r="13" spans="1:17" ht="16.5">
      <c r="A13" s="12">
        <v>50</v>
      </c>
      <c r="B13" s="2">
        <f>0.01*'AL17050'!C11*'AL17050'!C20*(1.414*120+0.7)/(2*(1.414*120-'AL17050'!C8)*A13*('AL17050'!C8+0.7))</f>
        <v>1.5360620266858997E-3</v>
      </c>
      <c r="C13" s="1">
        <f>1-'AL17050'!C20/(1.414*120-'AL17050'!C8)</f>
        <v>0.99398966221901675</v>
      </c>
      <c r="D13" s="1">
        <f>-('AL17050'!C15+'AL17050'!C17)</f>
        <v>-234</v>
      </c>
      <c r="E13" s="1">
        <f t="shared" si="0"/>
        <v>183.42310791622359</v>
      </c>
      <c r="F13" s="1">
        <f>2*1000*(1.414*120-'AL17050'!C8)*A13*('AL17050'!C8+0.7)/(0.01*'AL17050'!C11*'AL17050'!C20*E13*E13*(1.414*120+0.7))</f>
        <v>19.350097217087768</v>
      </c>
      <c r="G13" s="1">
        <f>'AL17050'!C20*E13/(1.414*120-'AL17050'!C8)</f>
        <v>1.1024348354142544</v>
      </c>
      <c r="H13" s="1">
        <f t="shared" si="1"/>
        <v>50.576892083776393</v>
      </c>
      <c r="I13" s="10" t="str">
        <f>IF(H13&lt;'AL17050'!C17,"BAD","GOOD")</f>
        <v>GOOD</v>
      </c>
      <c r="J13" s="2">
        <f>0.01*0.92*'AL17050'!C11*'AL17050'!C20*(1.414*230+0.7)/(2*(1.414*230-'AL17050'!C8)*A13*('AL17050'!C8+0.7))</f>
        <v>1.3971471172962227E-3</v>
      </c>
      <c r="K13" s="1">
        <f>1-'AL17050'!C20/(1.414*230-'AL17050'!C8)</f>
        <v>0.99689363817097421</v>
      </c>
      <c r="L13" s="1">
        <f>-('AL17050'!C15+'AL17050'!C17)</f>
        <v>-234</v>
      </c>
      <c r="M13" s="1">
        <f t="shared" si="2"/>
        <v>186.15959440785716</v>
      </c>
      <c r="N13" s="1">
        <f>2*1000*(1.414*230-'AL17050'!C8)*A13*('AL17050'!C8+0.7)/(0.01*0.95*'AL17050'!C11*'AL17050'!C20*M13*M13*(1.414*230+0.7))</f>
        <v>20.000978127050612</v>
      </c>
      <c r="O13" s="1">
        <f>'AL17050'!C20*M13/(1.414*230-'AL17050'!C8)</f>
        <v>0.57827905817550074</v>
      </c>
      <c r="P13" s="1">
        <f t="shared" si="3"/>
        <v>49.419275743783686</v>
      </c>
      <c r="Q13" s="3" t="str">
        <f>IF(P13&lt;'AL17050'!C17,"BAD","GOOD")</f>
        <v>GOOD</v>
      </c>
    </row>
    <row r="14" spans="1:17" ht="16.5">
      <c r="A14" s="12">
        <v>55</v>
      </c>
      <c r="B14" s="2">
        <f>0.01*'AL17050'!C11*'AL17050'!C20*(1.414*120+0.7)/(2*(1.414*120-'AL17050'!C8)*A14*('AL17050'!C8+0.7))</f>
        <v>1.396420024259909E-3</v>
      </c>
      <c r="C14" s="1">
        <f>1-'AL17050'!C20/(1.414*120-'AL17050'!C8)</f>
        <v>0.99398966221901675</v>
      </c>
      <c r="D14" s="1">
        <f>-('AL17050'!C15+'AL17050'!C17)</f>
        <v>-234</v>
      </c>
      <c r="E14" s="1">
        <f>(-C14+SQRT(C14*C14-4*B14*D14))/(2*B14)</f>
        <v>186.53320191713038</v>
      </c>
      <c r="F14" s="1">
        <f>2*1000*(1.414*120-'AL17050'!C8)*A14*('AL17050'!C8+0.7)/(0.01*'AL17050'!C11*'AL17050'!C20*E14*E14*(1.414*120+0.7))</f>
        <v>20.581244968918355</v>
      </c>
      <c r="G14" s="1">
        <f>'AL17050'!C20*E14/(1.414*120-'AL17050'!C8)</f>
        <v>1.1211275508903138</v>
      </c>
      <c r="H14" s="1">
        <f t="shared" si="1"/>
        <v>47.46679808286958</v>
      </c>
      <c r="I14" s="10" t="str">
        <f>IF(H14&lt;'AL17050'!C17,"BAD","GOOD")</f>
        <v>GOOD</v>
      </c>
      <c r="J14" s="2">
        <f>0.01*0.92*'AL17050'!C11*'AL17050'!C20*(1.414*230+0.7)/(2*(1.414*230-'AL17050'!C8)*A14*('AL17050'!C8+0.7))</f>
        <v>1.2701337429965661E-3</v>
      </c>
      <c r="K14" s="1">
        <f>1-'AL17050'!C20/(1.414*230-'AL17050'!C8)</f>
        <v>0.99689363817097421</v>
      </c>
      <c r="L14" s="1">
        <f>-('AL17050'!C15+'AL17050'!C17)</f>
        <v>-234</v>
      </c>
      <c r="M14" s="1">
        <f>(-K14+SQRT(K14*K14-4*J14*L14))/(2*J14)</f>
        <v>189.1466669025402</v>
      </c>
      <c r="N14" s="1">
        <f>2*1000*(1.414*230-'AL17050'!C8)*A14*('AL17050'!C8+0.7)/(0.01*0.95*'AL17050'!C11*'AL17050'!C20*M14*M14*(1.414*230+0.7))</f>
        <v>21.311665100264833</v>
      </c>
      <c r="O14" s="1">
        <f>'AL17050'!C20*M14/(1.414*230-'AL17050'!C8)</f>
        <v>0.58755798615351706</v>
      </c>
      <c r="P14" s="1">
        <f t="shared" si="3"/>
        <v>46.335101284969006</v>
      </c>
      <c r="Q14" s="3" t="str">
        <f>IF(P14&lt;'AL17050'!C17,"BAD","GOOD")</f>
        <v>GOOD</v>
      </c>
    </row>
    <row r="15" spans="1:17" ht="16.5">
      <c r="A15" s="12">
        <v>60</v>
      </c>
      <c r="B15" s="2">
        <f>0.01*'AL17050'!C11*'AL17050'!C20*(1.414*120+0.7)/(2*(1.414*120-'AL17050'!C8)*A15*('AL17050'!C8+0.7))</f>
        <v>1.2800516889049166E-3</v>
      </c>
      <c r="C15" s="1">
        <f>1-'AL17050'!C20/(1.414*120-'AL17050'!C8)</f>
        <v>0.99398966221901675</v>
      </c>
      <c r="D15" s="1">
        <f>-('AL17050'!C15+'AL17050'!C17)</f>
        <v>-234</v>
      </c>
      <c r="E15" s="1">
        <f t="shared" ref="E15:E23" si="4">(-C15+SQRT(C15*C15-4*B15*D15))/(2*B15)</f>
        <v>189.27819373966608</v>
      </c>
      <c r="F15" s="1">
        <f>2*1000*(1.414*120-'AL17050'!C8)*A15*('AL17050'!C8+0.7)/(0.01*'AL17050'!C11*'AL17050'!C20*E15*E15*(1.414*120+0.7))</f>
        <v>21.805764994272288</v>
      </c>
      <c r="G15" s="1">
        <f>'AL17050'!C20*E15/(1.414*120-'AL17050'!C8)</f>
        <v>1.1376258789497904</v>
      </c>
      <c r="H15" s="1">
        <f t="shared" si="1"/>
        <v>44.721806260333999</v>
      </c>
      <c r="I15" s="10" t="str">
        <f>IF(H15&lt;'AL17050'!C17,"BAD","GOOD")</f>
        <v>GOOD</v>
      </c>
      <c r="J15" s="2">
        <f>0.01*0.92*'AL17050'!C11*'AL17050'!C20*(1.414*230+0.7)/(2*(1.414*230-'AL17050'!C8)*A15*('AL17050'!C8+0.7))</f>
        <v>1.1642892644135191E-3</v>
      </c>
      <c r="K15" s="1">
        <f>1-'AL17050'!C20/(1.414*230-'AL17050'!C8)</f>
        <v>0.99689363817097421</v>
      </c>
      <c r="L15" s="1">
        <f>-('AL17050'!C15+'AL17050'!C17)</f>
        <v>-234</v>
      </c>
      <c r="M15" s="1">
        <f t="shared" ref="M15:M23" si="5">(-K15+SQRT(K15*K15-4*J15*L15))/(2*J15)</f>
        <v>191.77562263469227</v>
      </c>
      <c r="N15" s="1">
        <f>2*1000*(1.414*230-'AL17050'!C8)*A15*('AL17050'!C8+0.7)/(0.01*0.95*'AL17050'!C11*'AL17050'!C20*M15*M15*(1.414*230+0.7))</f>
        <v>22.616038053068781</v>
      </c>
      <c r="O15" s="1">
        <f>'AL17050'!C20*M15/(1.414*230-'AL17050'!C8)</f>
        <v>0.59572447389007299</v>
      </c>
      <c r="P15" s="1">
        <f t="shared" si="3"/>
        <v>43.620685033977267</v>
      </c>
      <c r="Q15" s="3" t="str">
        <f>IF(P15&lt;'AL17050'!C17,"BAD","GOOD")</f>
        <v>GOOD</v>
      </c>
    </row>
    <row r="16" spans="1:17" ht="16.5">
      <c r="A16" s="12">
        <v>65</v>
      </c>
      <c r="B16" s="2">
        <f>0.01*'AL17050'!C11*'AL17050'!C20*(1.414*120+0.7)/(2*(1.414*120-'AL17050'!C8)*A16*('AL17050'!C8+0.7))</f>
        <v>1.1815861743737692E-3</v>
      </c>
      <c r="C16" s="1">
        <f>1-'AL17050'!C20/(1.414*120-'AL17050'!C8)</f>
        <v>0.99398966221901675</v>
      </c>
      <c r="D16" s="1">
        <f>-('AL17050'!C15+'AL17050'!C17)</f>
        <v>-234</v>
      </c>
      <c r="E16" s="1">
        <f t="shared" si="4"/>
        <v>191.72087124101859</v>
      </c>
      <c r="F16" s="1">
        <f>2*1000*(1.414*120-'AL17050'!C8)*A16*('AL17050'!C8+0.7)/(0.01*'AL17050'!C11*'AL17050'!C20*E16*E16*(1.414*120+0.7))</f>
        <v>23.02479708570127</v>
      </c>
      <c r="G16" s="1">
        <f>'AL17050'!C20*E16/(1.414*120-'AL17050'!C8)</f>
        <v>1.1523071958229272</v>
      </c>
      <c r="H16" s="1">
        <f t="shared" si="1"/>
        <v>42.2791287589814</v>
      </c>
      <c r="I16" s="10" t="str">
        <f>IF(H16&lt;'AL17050'!C17,"BAD","GOOD")</f>
        <v>GOOD</v>
      </c>
      <c r="J16" s="2">
        <f>0.01*0.92*'AL17050'!C11*'AL17050'!C20*(1.414*230+0.7)/(2*(1.414*230-'AL17050'!C8)*A16*('AL17050'!C8+0.7))</f>
        <v>1.0747285517663254E-3</v>
      </c>
      <c r="K16" s="1">
        <f>1-'AL17050'!C20/(1.414*230-'AL17050'!C8)</f>
        <v>0.99689363817097421</v>
      </c>
      <c r="L16" s="1">
        <f>-('AL17050'!C15+'AL17050'!C17)</f>
        <v>-234</v>
      </c>
      <c r="M16" s="1">
        <f t="shared" si="5"/>
        <v>194.10901684806632</v>
      </c>
      <c r="N16" s="1">
        <f>2*1000*(1.414*230-'AL17050'!C8)*A16*('AL17050'!C8+0.7)/(0.01*0.95*'AL17050'!C11*'AL17050'!C20*M16*M16*(1.414*230+0.7))</f>
        <v>23.915199908104302</v>
      </c>
      <c r="O16" s="1">
        <f>'AL17050'!C20*M16/(1.414*230-'AL17050'!C8)</f>
        <v>0.60297284060656786</v>
      </c>
      <c r="P16" s="1">
        <f t="shared" si="3"/>
        <v>41.211438238646977</v>
      </c>
      <c r="Q16" s="3" t="str">
        <f>IF(P16&lt;'AL17050'!C17,"BAD","GOOD")</f>
        <v>GOOD</v>
      </c>
    </row>
    <row r="17" spans="1:17" ht="16.5">
      <c r="A17" s="12">
        <v>70</v>
      </c>
      <c r="B17" s="2">
        <f>0.01*'AL17050'!C11*'AL17050'!C20*(1.414*120+0.7)/(2*(1.414*120-'AL17050'!C8)*A17*('AL17050'!C8+0.7))</f>
        <v>1.0971871619184998E-3</v>
      </c>
      <c r="C17" s="1">
        <f>1-'AL17050'!C20/(1.414*120-'AL17050'!C8)</f>
        <v>0.99398966221901675</v>
      </c>
      <c r="D17" s="1">
        <f>-('AL17050'!C15+'AL17050'!C17)</f>
        <v>-234</v>
      </c>
      <c r="E17" s="1">
        <f t="shared" si="4"/>
        <v>193.91002357281076</v>
      </c>
      <c r="F17" s="1">
        <f>2*1000*(1.414*120-'AL17050'!C8)*A17*('AL17050'!C8+0.7)/(0.01*'AL17050'!C11*'AL17050'!C20*E17*E17*(1.414*120+0.7))</f>
        <v>24.239226916233594</v>
      </c>
      <c r="G17" s="1">
        <f>'AL17050'!C20*E17/(1.414*120-'AL17050'!C8)</f>
        <v>1.1654647407910252</v>
      </c>
      <c r="H17" s="1">
        <f t="shared" si="1"/>
        <v>40.089976427189292</v>
      </c>
      <c r="I17" s="10" t="str">
        <f>IF(H17&lt;'AL17050'!C17,"BAD","GOOD")</f>
        <v>GOOD</v>
      </c>
      <c r="J17" s="2">
        <f>0.01*0.92*'AL17050'!C11*'AL17050'!C20*(1.414*230+0.7)/(2*(1.414*230-'AL17050'!C8)*A17*('AL17050'!C8+0.7))</f>
        <v>9.9796222664015914E-4</v>
      </c>
      <c r="K17" s="1">
        <f>1-'AL17050'!C20/(1.414*230-'AL17050'!C8)</f>
        <v>0.99689363817097421</v>
      </c>
      <c r="L17" s="1">
        <f>-('AL17050'!C15+'AL17050'!C17)</f>
        <v>-234</v>
      </c>
      <c r="M17" s="1">
        <f t="shared" si="5"/>
        <v>196.19529786459188</v>
      </c>
      <c r="N17" s="1">
        <f>2*1000*(1.414*230-'AL17050'!C8)*A17*('AL17050'!C8+0.7)/(0.01*0.95*'AL17050'!C11*'AL17050'!C20*M17*M17*(1.414*230+0.7))</f>
        <v>25.210004866362571</v>
      </c>
      <c r="O17" s="1">
        <f>'AL17050'!C20*M17/(1.414*230-'AL17050'!C8)</f>
        <v>0.60945358432092411</v>
      </c>
      <c r="P17" s="1">
        <f t="shared" si="3"/>
        <v>39.057337648007987</v>
      </c>
      <c r="Q17" s="3" t="str">
        <f>IF(P17&lt;'AL17050'!C17,"BAD","GOOD")</f>
        <v>GOOD</v>
      </c>
    </row>
    <row r="18" spans="1:17" ht="16.5">
      <c r="A18" s="12">
        <v>75</v>
      </c>
      <c r="B18" s="2">
        <f>0.01*'AL17050'!C11*'AL17050'!C20*(1.414*120+0.7)/(2*(1.414*120-'AL17050'!C8)*A18*('AL17050'!C8+0.7))</f>
        <v>1.0240413511239332E-3</v>
      </c>
      <c r="C18" s="1">
        <f>1-'AL17050'!C20/(1.414*120-'AL17050'!C8)</f>
        <v>0.99398966221901675</v>
      </c>
      <c r="D18" s="1">
        <f>-('AL17050'!C15+'AL17050'!C17)</f>
        <v>-234</v>
      </c>
      <c r="E18" s="1">
        <f t="shared" si="4"/>
        <v>195.88422068170334</v>
      </c>
      <c r="F18" s="1">
        <f>2*1000*(1.414*120-'AL17050'!C8)*A18*('AL17050'!C8+0.7)/(0.01*'AL17050'!C11*'AL17050'!C20*E18*E18*(1.414*120+0.7))</f>
        <v>25.449754648924586</v>
      </c>
      <c r="G18" s="1">
        <f>'AL17050'!C20*E18/(1.414*120-'AL17050'!C8)</f>
        <v>1.1773303322617104</v>
      </c>
      <c r="H18" s="1">
        <f t="shared" si="1"/>
        <v>38.115779318296603</v>
      </c>
      <c r="I18" s="10" t="str">
        <f>IF(H18&lt;'AL17050'!C17,"BAD","GOOD")</f>
        <v>GOOD</v>
      </c>
      <c r="J18" s="2">
        <f>0.01*0.92*'AL17050'!C11*'AL17050'!C20*(1.414*230+0.7)/(2*(1.414*230-'AL17050'!C8)*A18*('AL17050'!C8+0.7))</f>
        <v>9.3143141153081521E-4</v>
      </c>
      <c r="K18" s="1">
        <f>1-'AL17050'!C20/(1.414*230-'AL17050'!C8)</f>
        <v>0.99689363817097421</v>
      </c>
      <c r="L18" s="1">
        <f>-('AL17050'!C15+'AL17050'!C17)</f>
        <v>-234</v>
      </c>
      <c r="M18" s="1">
        <f t="shared" si="5"/>
        <v>198.07264752738362</v>
      </c>
      <c r="N18" s="1">
        <f>2*1000*(1.414*230-'AL17050'!C8)*A18*('AL17050'!C8+0.7)/(0.01*0.95*'AL17050'!C11*'AL17050'!C20*M18*M18*(1.414*230+0.7))</f>
        <v>26.501126118718599</v>
      </c>
      <c r="O18" s="1">
        <f>'AL17050'!C20*M18/(1.414*230-'AL17050'!C8)</f>
        <v>0.61528531165315492</v>
      </c>
      <c r="P18" s="1">
        <f t="shared" si="3"/>
        <v>37.118960226451271</v>
      </c>
      <c r="Q18" s="3" t="str">
        <f>IF(P18&lt;'AL17050'!C17,"BAD","GOOD")</f>
        <v>GOOD</v>
      </c>
    </row>
    <row r="19" spans="1:17" ht="16.5">
      <c r="A19" s="12">
        <v>80</v>
      </c>
      <c r="B19" s="2">
        <f>0.01*'AL17050'!C11*'AL17050'!C20*(1.414*120+0.7)/(2*(1.414*120-'AL17050'!C8)*A19*('AL17050'!C8+0.7))</f>
        <v>9.6003876667868731E-4</v>
      </c>
      <c r="C19" s="1">
        <f>1-'AL17050'!C20/(1.414*120-'AL17050'!C8)</f>
        <v>0.99398966221901675</v>
      </c>
      <c r="D19" s="1">
        <f>-('AL17050'!C15+'AL17050'!C17)</f>
        <v>-234</v>
      </c>
      <c r="E19" s="1">
        <f t="shared" si="4"/>
        <v>197.67440977140129</v>
      </c>
      <c r="F19" s="1">
        <f>2*1000*(1.414*120-'AL17050'!C8)*A19*('AL17050'!C8+0.7)/(0.01*'AL17050'!C11*'AL17050'!C20*E19*E19*(1.414*120+0.7))</f>
        <v>26.656942070620492</v>
      </c>
      <c r="G19" s="1">
        <f>'AL17050'!C20*E19/(1.414*120-'AL17050'!C8)</f>
        <v>1.188089973382626</v>
      </c>
      <c r="H19" s="1">
        <f t="shared" si="1"/>
        <v>36.325590228598742</v>
      </c>
      <c r="I19" s="10" t="str">
        <f>IF(H19&lt;'AL17050'!C17,"BAD","GOOD")</f>
        <v>GOOD</v>
      </c>
      <c r="J19" s="2">
        <f>0.01*0.92*'AL17050'!C11*'AL17050'!C20*(1.414*230+0.7)/(2*(1.414*230-'AL17050'!C8)*A19*('AL17050'!C8+0.7))</f>
        <v>8.7321694831013919E-4</v>
      </c>
      <c r="K19" s="1">
        <f>1-'AL17050'!C20/(1.414*230-'AL17050'!C8)</f>
        <v>0.99689363817097421</v>
      </c>
      <c r="L19" s="1">
        <f>-('AL17050'!C15+'AL17050'!C17)</f>
        <v>-234</v>
      </c>
      <c r="M19" s="1">
        <f t="shared" si="5"/>
        <v>199.77161225164005</v>
      </c>
      <c r="N19" s="1">
        <f>2*1000*(1.414*230-'AL17050'!C8)*A19*('AL17050'!C8+0.7)/(0.01*0.95*'AL17050'!C11*'AL17050'!C20*M19*M19*(1.414*230+0.7))</f>
        <v>27.789102234458205</v>
      </c>
      <c r="O19" s="1">
        <f>'AL17050'!C20*M19/(1.414*230-'AL17050'!C8)</f>
        <v>0.62056291082144655</v>
      </c>
      <c r="P19" s="1">
        <f t="shared" si="3"/>
        <v>35.364766574202726</v>
      </c>
      <c r="Q19" s="3" t="str">
        <f>IF(P19&lt;'AL17050'!C17,"BAD","GOOD")</f>
        <v>GOOD</v>
      </c>
    </row>
    <row r="20" spans="1:17" ht="16.5">
      <c r="A20" s="12">
        <v>85</v>
      </c>
      <c r="B20" s="2">
        <f>0.01*'AL17050'!C11*'AL17050'!C20*(1.414*120+0.7)/(2*(1.414*120-'AL17050'!C8)*A20*('AL17050'!C8+0.7))</f>
        <v>9.0356589805052929E-4</v>
      </c>
      <c r="C20" s="1">
        <f>1-'AL17050'!C20/(1.414*120-'AL17050'!C8)</f>
        <v>0.99398966221901675</v>
      </c>
      <c r="D20" s="1">
        <f>-('AL17050'!C15+'AL17050'!C17)</f>
        <v>-234</v>
      </c>
      <c r="E20" s="1">
        <f t="shared" si="4"/>
        <v>199.30574535033338</v>
      </c>
      <c r="F20" s="1">
        <f>2*1000*(1.414*120-'AL17050'!C8)*A20*('AL17050'!C8+0.7)/(0.01*'AL17050'!C11*'AL17050'!C20*E20*E20*(1.414*120+0.7))</f>
        <v>27.861245812947814</v>
      </c>
      <c r="G20" s="1">
        <f>'AL17050'!C20*E20/(1.414*120-'AL17050'!C8)</f>
        <v>1.1978948512461438</v>
      </c>
      <c r="H20" s="1">
        <f t="shared" si="1"/>
        <v>34.694254649666519</v>
      </c>
      <c r="I20" s="10" t="str">
        <f>IF(H20&lt;'AL17050'!C17,"BAD","GOOD")</f>
        <v>GOOD</v>
      </c>
      <c r="J20" s="2">
        <f>0.01*0.92*'AL17050'!C11*'AL17050'!C20*(1.414*230+0.7)/(2*(1.414*230-'AL17050'!C8)*A20*('AL17050'!C8+0.7))</f>
        <v>8.218512454683663E-4</v>
      </c>
      <c r="K20" s="1">
        <f>1-'AL17050'!C20/(1.414*230-'AL17050'!C8)</f>
        <v>0.99689363817097421</v>
      </c>
      <c r="L20" s="1">
        <f>-('AL17050'!C15+'AL17050'!C17)</f>
        <v>-234</v>
      </c>
      <c r="M20" s="1">
        <f t="shared" si="5"/>
        <v>201.31695247589036</v>
      </c>
      <c r="N20" s="1">
        <f>2*1000*(1.414*230-'AL17050'!C8)*A20*('AL17050'!C8+0.7)/(0.01*0.95*'AL17050'!C11*'AL17050'!C20*M20*M20*(1.414*230+0.7))</f>
        <v>29.074369769282146</v>
      </c>
      <c r="O20" s="1">
        <f>'AL17050'!C20*M20/(1.414*230-'AL17050'!C8)</f>
        <v>0.62536329670691593</v>
      </c>
      <c r="P20" s="1">
        <f t="shared" si="3"/>
        <v>33.769191355223214</v>
      </c>
      <c r="Q20" s="3" t="str">
        <f>IF(P20&lt;'AL17050'!C17,"BAD","GOOD")</f>
        <v>GOOD</v>
      </c>
    </row>
    <row r="21" spans="1:17" ht="16.5">
      <c r="A21" s="12">
        <v>90</v>
      </c>
      <c r="B21" s="2">
        <f>0.01*'AL17050'!C11*'AL17050'!C20*(1.414*120+0.7)/(2*(1.414*120-'AL17050'!C8)*A21*('AL17050'!C8+0.7))</f>
        <v>8.5336779260327766E-4</v>
      </c>
      <c r="C21" s="1">
        <f>1-'AL17050'!C20/(1.414*120-'AL17050'!C8)</f>
        <v>0.99398966221901675</v>
      </c>
      <c r="D21" s="1">
        <f>-('AL17050'!C15+'AL17050'!C17)</f>
        <v>-234</v>
      </c>
      <c r="E21" s="1">
        <f t="shared" si="4"/>
        <v>200.79890796335718</v>
      </c>
      <c r="F21" s="1">
        <f>2*1000*(1.414*120-'AL17050'!C8)*A21*('AL17050'!C8+0.7)/(0.01*'AL17050'!C11*'AL17050'!C20*E21*E21*(1.414*120+0.7))</f>
        <v>29.063041291345829</v>
      </c>
      <c r="G21" s="1">
        <f>'AL17050'!C20*E21/(1.414*120-'AL17050'!C8)</f>
        <v>1.2068692629123525</v>
      </c>
      <c r="H21" s="1">
        <f t="shared" si="1"/>
        <v>33.201092036642777</v>
      </c>
      <c r="I21" s="10" t="str">
        <f>IF(H21&lt;'AL17050'!C17,"BAD","GOOD")</f>
        <v>GOOD</v>
      </c>
      <c r="J21" s="2">
        <f>0.01*0.92*'AL17050'!C11*'AL17050'!C20*(1.414*230+0.7)/(2*(1.414*230-'AL17050'!C8)*A21*('AL17050'!C8+0.7))</f>
        <v>7.7619284294234601E-4</v>
      </c>
      <c r="K21" s="1">
        <f>1-'AL17050'!C20/(1.414*230-'AL17050'!C8)</f>
        <v>0.99689363817097421</v>
      </c>
      <c r="L21" s="1">
        <f>-('AL17050'!C15+'AL17050'!C17)</f>
        <v>-234</v>
      </c>
      <c r="M21" s="1">
        <f t="shared" si="5"/>
        <v>202.72897190605912</v>
      </c>
      <c r="N21" s="1">
        <f>2*1000*(1.414*230-'AL17050'!C8)*A21*('AL17050'!C8+0.7)/(0.01*0.95*'AL17050'!C11*'AL17050'!C20*M21*M21*(1.414*230+0.7))</f>
        <v>30.357286701445112</v>
      </c>
      <c r="O21" s="1">
        <f>'AL17050'!C20*M21/(1.414*230-'AL17050'!C8)</f>
        <v>0.62974953996663496</v>
      </c>
      <c r="P21" s="1">
        <f t="shared" si="3"/>
        <v>32.311270842872673</v>
      </c>
      <c r="Q21" s="3" t="str">
        <f>IF(P21&lt;'AL17050'!C17,"BAD","GOOD")</f>
        <v>GOOD</v>
      </c>
    </row>
    <row r="22" spans="1:17" ht="16.5">
      <c r="A22" s="12">
        <v>95</v>
      </c>
      <c r="B22" s="2">
        <f>0.01*'AL17050'!C11*'AL17050'!C20*(1.414*120+0.7)/(2*(1.414*120-'AL17050'!C8)*A22*('AL17050'!C8+0.7))</f>
        <v>8.0845369825573675E-4</v>
      </c>
      <c r="C22" s="1">
        <f>1-'AL17050'!C20/(1.414*120-'AL17050'!C8)</f>
        <v>0.99398966221901675</v>
      </c>
      <c r="D22" s="1">
        <f>-('AL17050'!C15+'AL17050'!C17)</f>
        <v>-234</v>
      </c>
      <c r="E22" s="1">
        <f t="shared" si="4"/>
        <v>202.17107301230783</v>
      </c>
      <c r="F22" s="1">
        <f>2*1000*(1.414*120-'AL17050'!C8)*A22*('AL17050'!C8+0.7)/(0.01*'AL17050'!C11*'AL17050'!C20*E22*E22*(1.414*120+0.7))</f>
        <v>30.262640292136979</v>
      </c>
      <c r="G22" s="1">
        <f>'AL17050'!C20*E22/(1.414*120-'AL17050'!C8)</f>
        <v>1.2151164383478055</v>
      </c>
      <c r="H22" s="1">
        <f t="shared" si="1"/>
        <v>31.828926987692121</v>
      </c>
      <c r="I22" s="10" t="str">
        <f>IF(H22&lt;'AL17050'!C17,"BAD","GOOD")</f>
        <v>GOOD</v>
      </c>
      <c r="J22" s="2">
        <f>0.01*0.92*'AL17050'!C11*'AL17050'!C20*(1.414*230+0.7)/(2*(1.414*230-'AL17050'!C8)*A22*('AL17050'!C8+0.7))</f>
        <v>7.3534058805064357E-4</v>
      </c>
      <c r="K22" s="1">
        <f>1-'AL17050'!C20/(1.414*230-'AL17050'!C8)</f>
        <v>0.99689363817097421</v>
      </c>
      <c r="L22" s="1">
        <f>-('AL17050'!C15+'AL17050'!C17)</f>
        <v>-234</v>
      </c>
      <c r="M22" s="1">
        <f t="shared" si="5"/>
        <v>204.02449159624709</v>
      </c>
      <c r="N22" s="1">
        <f>2*1000*(1.414*230-'AL17050'!C8)*A22*('AL17050'!C8+0.7)/(0.01*0.95*'AL17050'!C11*'AL17050'!C20*M22*M22*(1.414*230+0.7))</f>
        <v>31.638149605947284</v>
      </c>
      <c r="O22" s="1">
        <f>'AL17050'!C20*M22/(1.414*230-'AL17050'!C8)</f>
        <v>0.63377389288098629</v>
      </c>
      <c r="P22" s="1">
        <f t="shared" si="3"/>
        <v>30.973637174295387</v>
      </c>
      <c r="Q22" s="3" t="str">
        <f>IF(P22&lt;'AL17050'!C17,"BAD","GOOD")</f>
        <v>GOOD</v>
      </c>
    </row>
    <row r="23" spans="1:17" ht="17.25" thickBot="1">
      <c r="A23" s="18">
        <v>100</v>
      </c>
      <c r="B23" s="14">
        <f>0.01*'AL17050'!C11*'AL17050'!C20*(1.414*120+0.7)/(2*(1.414*120-'AL17050'!C8)*A23*('AL17050'!C8+0.7))</f>
        <v>7.6803101334294987E-4</v>
      </c>
      <c r="C23" s="15">
        <f>1-'AL17050'!C20/(1.414*120-'AL17050'!C8)</f>
        <v>0.99398966221901675</v>
      </c>
      <c r="D23" s="15">
        <f>-('AL17050'!C15+'AL17050'!C17)</f>
        <v>-234</v>
      </c>
      <c r="E23" s="15">
        <f t="shared" si="4"/>
        <v>203.43663473622743</v>
      </c>
      <c r="F23" s="15">
        <f>2*1000*(1.414*120-'AL17050'!C8)*A23*('AL17050'!C8+0.7)/(0.01*'AL17050'!C11*'AL17050'!C20*E23*E23*(1.414*120+0.7))</f>
        <v>31.46030411499256</v>
      </c>
      <c r="G23" s="15">
        <f>'AL17050'!C20*E23/(1.414*120-'AL17050'!C8)</f>
        <v>1.2227228917912458</v>
      </c>
      <c r="H23" s="15">
        <f t="shared" si="1"/>
        <v>30.56336526377255</v>
      </c>
      <c r="I23" s="16" t="str">
        <f>IF(H23&lt;'AL17050'!C17,"BAD","GOOD")</f>
        <v>GOOD</v>
      </c>
      <c r="J23" s="14">
        <f>0.01*0.92*'AL17050'!C11*'AL17050'!C20*(1.414*230+0.7)/(2*(1.414*230-'AL17050'!C8)*A23*('AL17050'!C8+0.7))</f>
        <v>6.9857355864811135E-4</v>
      </c>
      <c r="K23" s="15">
        <f>1-'AL17050'!C20/(1.414*230-'AL17050'!C8)</f>
        <v>0.99689363817097421</v>
      </c>
      <c r="L23" s="15">
        <f>-('AL17050'!C15+'AL17050'!C17)</f>
        <v>-234</v>
      </c>
      <c r="M23" s="15">
        <f t="shared" si="5"/>
        <v>205.21757608406421</v>
      </c>
      <c r="N23" s="15">
        <f>2*1000*(1.414*230-'AL17050'!C8)*A23*('AL17050'!C8+0.7)/(0.01*0.95*'AL17050'!C11*'AL17050'!C20*M23*M23*(1.414*230+0.7))</f>
        <v>32.917206457155778</v>
      </c>
      <c r="O23" s="15">
        <f>'AL17050'!C20*M23/(1.414*230-'AL17050'!C8)</f>
        <v>0.63748004499274424</v>
      </c>
      <c r="P23" s="15">
        <f t="shared" si="3"/>
        <v>29.741768610313873</v>
      </c>
      <c r="Q23" s="13" t="str">
        <f>IF(P23&lt;'AL17050'!C17,"BAD","GOOD")</f>
        <v>GOOD</v>
      </c>
    </row>
  </sheetData>
  <sheetProtection sheet="1" objects="1" scenarios="1"/>
  <mergeCells count="3">
    <mergeCell ref="J2:Q2"/>
    <mergeCell ref="B2:I2"/>
    <mergeCell ref="A1:Q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9367BA-BDFD-4D8A-9B85-2551C342B8AC}"/>
</file>

<file path=customXml/itemProps2.xml><?xml version="1.0" encoding="utf-8"?>
<ds:datastoreItem xmlns:ds="http://schemas.openxmlformats.org/officeDocument/2006/customXml" ds:itemID="{723A6DC5-CFD4-410C-BD1B-D9F1E612361D}"/>
</file>

<file path=customXml/itemProps3.xml><?xml version="1.0" encoding="utf-8"?>
<ds:datastoreItem xmlns:ds="http://schemas.openxmlformats.org/officeDocument/2006/customXml" ds:itemID="{FD8D8194-3DA7-4D7A-81A3-8D51C633F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AL17050</vt:lpstr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严茂水</dc:creator>
  <cp:lastModifiedBy>MaoShui Yan [严茂水]/BSH</cp:lastModifiedBy>
  <dcterms:created xsi:type="dcterms:W3CDTF">2017-04-16T07:38:47Z</dcterms:created>
  <dcterms:modified xsi:type="dcterms:W3CDTF">2017-12-14T05:06:37Z</dcterms:modified>
</cp:coreProperties>
</file>